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worksheets/sheet7.xml" ContentType="application/vnd.openxmlformats-officedocument.spreadsheetml.worksheet+xml"/>
  <Override PartName="/xl/drawings/drawing5.xml" ContentType="application/vnd.openxmlformats-officedocument.drawing+xml"/>
  <Override PartName="/xl/worksheets/sheet8.xml" ContentType="application/vnd.openxmlformats-officedocument.spreadsheetml.worksheet+xml"/>
  <Override PartName="/xl/tables/table1.xml" ContentType="application/vnd.openxmlformats-officedocument.spreadsheetml.table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ables/table2.xml" ContentType="application/vnd.openxmlformats-officedocument.spreadsheetml.table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ables/table3.xml" ContentType="application/vnd.openxmlformats-officedocument.spreadsheetml.table+xml"/>
  <Override PartName="/xl/worksheets/sheet14.xml" ContentType="application/vnd.openxmlformats-officedocument.spreadsheetml.worksheet+xml"/>
  <Override PartName="/xl/tables/table4.xml" ContentType="application/vnd.openxmlformats-officedocument.spreadsheetml.table+xml"/>
  <Override PartName="/xl/worksheets/sheet15.xml" ContentType="application/vnd.openxmlformats-officedocument.spreadsheetml.worksheet+xml"/>
  <Override PartName="/xl/tables/table5.xml" ContentType="application/vnd.openxmlformats-officedocument.spreadsheetml.table+xml"/>
  <Override PartName="/xl/worksheets/sheet16.xml" ContentType="application/vnd.openxmlformats-officedocument.spreadsheetml.worksheet+xml"/>
  <Override PartName="/xl/tables/table6.xml" ContentType="application/vnd.openxmlformats-officedocument.spreadsheetml.table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ables/table7.xml" ContentType="application/vnd.openxmlformats-officedocument.spreadsheetml.table+xml"/>
  <Override PartName="/xl/worksheets/sheet19.xml" ContentType="application/vnd.openxmlformats-officedocument.spreadsheetml.worksheet+xml"/>
  <Override PartName="/xl/tables/table8.xml" ContentType="application/vnd.openxmlformats-officedocument.spreadsheetml.table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Management dashboard" sheetId="2" state="visible" r:id="rId2"/>
    <sheet name="Sales dashboard" sheetId="3" state="visible" r:id="rId3"/>
    <sheet name="Finance dashboard" sheetId="4" state="visible" r:id="rId4"/>
    <sheet name="Jobs dashboard" sheetId="5" state="visible" r:id="rId5"/>
    <sheet name="Stock dashboard" sheetId="6" state="visible" r:id="rId6"/>
    <sheet name="Team dashboard" sheetId="7" state="visible" r:id="rId7"/>
    <sheet name="Pipeline" sheetId="8" state="visible" r:id="rId8"/>
    <sheet name="Sales by month" sheetId="9" state="visible" r:id="rId9"/>
    <sheet name="Transactions" sheetId="10" state="visible" r:id="rId10"/>
    <sheet name="Cash by month" sheetId="11" state="visible" r:id="rId11"/>
    <sheet name="Categories by month" sheetId="12" state="visible" r:id="rId12"/>
    <sheet name="Jobs" sheetId="13" state="visible" r:id="rId13"/>
    <sheet name="Timesheet" sheetId="14" state="visible" r:id="rId14"/>
    <sheet name="Items" sheetId="15" state="visible" r:id="rId15"/>
    <sheet name="Stock movements" sheetId="16" state="visible" r:id="rId16"/>
    <sheet name="Reorder list" sheetId="17" state="visible" r:id="rId17"/>
    <sheet name="Shifts" sheetId="18" state="visible" r:id="rId18"/>
    <sheet name="Absences" sheetId="19" state="visible" r:id="rId19"/>
    <sheet name="Weekly rota" sheetId="20" state="visible" r:id="rId20"/>
    <sheet name="Team summary" sheetId="21" state="visible" r:id="rId21"/>
    <sheet name="Settings" sheetId="22" state="visible" r:id="rId22"/>
  </sheets>
  <definedNames>
    <definedName name="BizName">'Settings'!$B$5</definedName>
    <definedName name="SelYear">'Settings'!$B$6</definedName>
    <definedName name="StageList">'Settings'!$D$5:$D$9</definedName>
    <definedName name="SourceList">'Settings'!$F$5:$F$34</definedName>
    <definedName name="OpeningBalance">'Settings'!$B$7</definedName>
    <definedName name="TypeList">'Settings'!$H$5:$H$6</definedName>
    <definedName name="CatList">'Settings'!$J$5:$J$34</definedName>
    <definedName name="CatTypes">'Settings'!$K$5:$K$34</definedName>
    <definedName name="PayList">'Settings'!$M$5:$M$34</definedName>
    <definedName name="TeamList">'Settings'!$O$5:$O$34</definedName>
    <definedName name="TeamRole">'Settings'!$P$5:$P$34</definedName>
    <definedName name="TeamHours">'Settings'!$Q$5:$Q$34</definedName>
    <definedName name="TeamHoliday">'Settings'!$R$5:$R$34</definedName>
    <definedName name="LabourRate">'Settings'!$B$8</definedName>
    <definedName name="JobStatusList">'Settings'!$T$5:$T$9</definedName>
    <definedName name="MoveList">'Settings'!$V$5:$V$7</definedName>
    <definedName name="ItemCatList">'Settings'!$X$5:$X$34</definedName>
    <definedName name="UnitList">'Settings'!$Z$5:$Z$34</definedName>
    <definedName name="YesNo">'Settings'!$AB$5:$AB$6</definedName>
    <definedName name="AbsList">'Settings'!$AD$5:$AD$7</definedName>
    <definedName name="EasterYears">'Settings'!$AF$5:$AF$20</definedName>
    <definedName name="EasterDates">'Settings'!$AG$5:$AG$20</definedName>
    <definedName name="EasterSunday">'Settings'!$B$9</definedName>
    <definedName name="PublicHolidays">'Settings'!$AJ$5:$AJ$19</definedName>
    <definedName name="WeekStart">'Weekly rota'!$B$3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/mm/yyyy"/>
    <numFmt numFmtId="166" formatCode="#,##0.00 &quot;€&quot;;-#,##0.00 &quot;€&quot;;&quot;–&quot;"/>
    <numFmt numFmtId="167" formatCode="0.0%"/>
    <numFmt numFmtId="168" formatCode="mmm"/>
    <numFmt numFmtId="169" formatCode="#,##0.##;-#,##0.##;&quot;–&quot;"/>
    <numFmt numFmtId="170" formatCode="hh:mm"/>
    <numFmt numFmtId="171" formatCode="dd/mm"/>
  </numFmts>
  <fonts count="14">
    <font>
      <name val="Calibri"/>
      <family val="2"/>
      <color theme="1"/>
      <sz val="11"/>
      <scheme val="minor"/>
    </font>
    <font>
      <name val="Arial"/>
      <b val="1"/>
      <color rgb="0017191C"/>
      <sz val="16"/>
    </font>
    <font>
      <name val="Arial"/>
      <color rgb="0062666B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7191C"/>
      <sz val="10"/>
    </font>
    <font>
      <name val="Arial"/>
      <color rgb="0062666B"/>
      <sz val="8"/>
    </font>
    <font>
      <name val="Arial"/>
      <i val="1"/>
      <color rgb="0062666B"/>
      <sz val="10"/>
    </font>
    <font>
      <name val="Arial"/>
      <b val="1"/>
      <color rgb="0017191C"/>
      <sz val="12"/>
    </font>
    <font>
      <name val="Arial"/>
      <color rgb="0062666B"/>
      <sz val="9"/>
    </font>
    <font>
      <name val="Arial"/>
      <b val="1"/>
      <color rgb="0017191C"/>
      <sz val="18"/>
    </font>
    <font>
      <name val="Arial"/>
      <b val="1"/>
      <color rgb="0017191C"/>
      <sz val="20"/>
    </font>
    <font>
      <name val="Arial"/>
      <b val="1"/>
      <color rgb="00009C45"/>
      <sz val="12"/>
    </font>
  </fonts>
  <fills count="9">
    <fill>
      <patternFill/>
    </fill>
    <fill>
      <patternFill patternType="gray125"/>
    </fill>
    <fill>
      <patternFill patternType="solid">
        <fgColor rgb="0017191C"/>
        <bgColor rgb="0017191C"/>
      </patternFill>
    </fill>
    <fill>
      <patternFill patternType="solid">
        <fgColor rgb="00FFF4D6"/>
        <bgColor rgb="00FFF4D6"/>
      </patternFill>
    </fill>
    <fill>
      <patternFill patternType="solid">
        <fgColor rgb="00E3E6E8"/>
        <bgColor rgb="00E3E6E8"/>
      </patternFill>
    </fill>
    <fill>
      <patternFill patternType="solid">
        <fgColor rgb="00FFFFFF"/>
        <bgColor rgb="00FFFFFF"/>
      </patternFill>
    </fill>
    <fill>
      <patternFill patternType="solid">
        <fgColor rgb="00EAF6EF"/>
        <bgColor rgb="00EAF6EF"/>
      </patternFill>
    </fill>
    <fill>
      <patternFill patternType="solid">
        <fgColor rgb="00F5F6F7"/>
        <bgColor rgb="00F5F6F7"/>
      </patternFill>
    </fill>
    <fill>
      <patternFill patternType="solid">
        <fgColor rgb="00009C45"/>
        <bgColor rgb="00009C45"/>
      </patternFill>
    </fill>
  </fills>
  <borders count="3">
    <border>
      <left/>
      <right/>
      <top/>
      <bottom/>
      <diagonal/>
    </border>
    <border>
      <bottom style="thin">
        <color rgb="00D6DEDB"/>
      </bottom>
    </border>
    <border>
      <left style="thin">
        <color rgb="00D6DEDB"/>
      </left>
      <right style="thin">
        <color rgb="00D6DEDB"/>
      </right>
      <top style="thin">
        <color rgb="00D6DEDB"/>
      </top>
      <bottom style="thin">
        <color rgb="00D6DEDB"/>
      </bottom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0" borderId="0" pivotButton="0" quotePrefix="0" xfId="0"/>
    <xf numFmtId="0" fontId="12" fillId="0" borderId="0" pivotButton="0" quotePrefix="0" xfId="0"/>
    <xf numFmtId="0" fontId="2" fillId="0" borderId="0" pivotButton="0" quotePrefix="0" xfId="0"/>
    <xf numFmtId="0" fontId="3" fillId="8" borderId="0" pivotButton="0" quotePrefix="0" xfId="0"/>
    <xf numFmtId="0" fontId="6" fillId="6" borderId="0" applyAlignment="1" pivotButton="0" quotePrefix="0" xfId="0">
      <alignment vertical="top" wrapText="1"/>
    </xf>
    <xf numFmtId="0" fontId="13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5" fillId="6" borderId="2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7" borderId="0" pivotButton="0" quotePrefix="0" xfId="0"/>
    <xf numFmtId="1" fontId="11" fillId="7" borderId="0" applyAlignment="1" pivotButton="0" quotePrefix="0" xfId="0">
      <alignment horizontal="left"/>
    </xf>
    <xf numFmtId="166" fontId="11" fillId="7" borderId="0" applyAlignment="1" pivotButton="0" quotePrefix="0" xfId="0">
      <alignment horizontal="left"/>
    </xf>
    <xf numFmtId="167" fontId="11" fillId="7" borderId="0" applyAlignment="1" pivotButton="0" quotePrefix="0" xfId="0">
      <alignment horizontal="left"/>
    </xf>
    <xf numFmtId="169" fontId="11" fillId="7" borderId="0" applyAlignment="1" pivotButton="0" quotePrefix="0" xfId="0">
      <alignment horizontal="left"/>
    </xf>
    <xf numFmtId="165" fontId="11" fillId="7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1" fontId="4" fillId="0" borderId="1" pivotButton="0" quotePrefix="0" xfId="0"/>
    <xf numFmtId="166" fontId="4" fillId="0" borderId="1" pivotButton="0" quotePrefix="0" xfId="0"/>
    <xf numFmtId="169" fontId="4" fillId="0" borderId="1" pivotButton="0" quotePrefix="0" xfId="0"/>
    <xf numFmtId="165" fontId="4" fillId="0" borderId="0" pivotButton="0" quotePrefix="0" xfId="0"/>
    <xf numFmtId="0" fontId="4" fillId="0" borderId="0" pivotButton="0" quotePrefix="0" xfId="0"/>
    <xf numFmtId="166" fontId="4" fillId="0" borderId="0" pivotButton="0" quotePrefix="0" xfId="0"/>
    <xf numFmtId="1" fontId="4" fillId="6" borderId="0" pivotButton="0" quotePrefix="0" xfId="0"/>
    <xf numFmtId="0" fontId="4" fillId="6" borderId="0" pivotButton="0" quotePrefix="0" xfId="0"/>
    <xf numFmtId="165" fontId="7" fillId="0" borderId="0" pivotButton="0" quotePrefix="0" xfId="0"/>
    <xf numFmtId="0" fontId="5" fillId="0" borderId="0" pivotButton="0" quotePrefix="0" xfId="0"/>
    <xf numFmtId="1" fontId="4" fillId="6" borderId="1" pivotButton="0" quotePrefix="0" xfId="0"/>
    <xf numFmtId="166" fontId="4" fillId="6" borderId="1" pivotButton="0" quotePrefix="0" xfId="0"/>
    <xf numFmtId="167" fontId="4" fillId="6" borderId="1" pivotButton="0" quotePrefix="0" xfId="0"/>
    <xf numFmtId="1" fontId="5" fillId="6" borderId="1" pivotButton="0" quotePrefix="0" xfId="0"/>
    <xf numFmtId="166" fontId="5" fillId="6" borderId="1" pivotButton="0" quotePrefix="0" xfId="0"/>
    <xf numFmtId="167" fontId="5" fillId="6" borderId="1" pivotButton="0" quotePrefix="0" xfId="0"/>
    <xf numFmtId="166" fontId="4" fillId="6" borderId="0" pivotButton="0" quotePrefix="0" xfId="0"/>
    <xf numFmtId="168" fontId="3" fillId="2" borderId="0" applyAlignment="1" pivotButton="0" quotePrefix="0" xfId="0">
      <alignment vertical="center" wrapText="1"/>
    </xf>
    <xf numFmtId="0" fontId="4" fillId="6" borderId="1" pivotButton="0" quotePrefix="0" xfId="0"/>
    <xf numFmtId="2" fontId="4" fillId="6" borderId="1" pivotButton="0" quotePrefix="0" xfId="0"/>
    <xf numFmtId="169" fontId="4" fillId="0" borderId="0" pivotButton="0" quotePrefix="0" xfId="0"/>
    <xf numFmtId="169" fontId="4" fillId="6" borderId="0" pivotButton="0" quotePrefix="0" xfId="0"/>
    <xf numFmtId="167" fontId="4" fillId="6" borderId="0" pivotButton="0" quotePrefix="0" xfId="0"/>
    <xf numFmtId="169" fontId="4" fillId="6" borderId="1" pivotButton="0" quotePrefix="0" xfId="0"/>
    <xf numFmtId="170" fontId="4" fillId="0" borderId="0" pivotButton="0" quotePrefix="0" xfId="0"/>
    <xf numFmtId="165" fontId="4" fillId="6" borderId="0" pivotButton="0" quotePrefix="0" xfId="0"/>
    <xf numFmtId="165" fontId="5" fillId="3" borderId="2" pivotButton="0" quotePrefix="0" xfId="0"/>
    <xf numFmtId="171" fontId="10" fillId="0" borderId="0" pivotButton="0" quotePrefix="0" xfId="0"/>
    <xf numFmtId="0" fontId="5" fillId="6" borderId="1" pivotButton="0" quotePrefix="0" xfId="0"/>
    <xf numFmtId="169" fontId="5" fillId="6" borderId="1" pivotButton="0" quotePrefix="0" xfId="0"/>
    <xf numFmtId="0" fontId="6" fillId="0" borderId="0" pivotButton="0" quotePrefix="0" xfId="0"/>
    <xf numFmtId="0" fontId="5" fillId="3" borderId="2" pivotButton="0" quotePrefix="0" xfId="0"/>
    <xf numFmtId="0" fontId="4" fillId="4" borderId="2" pivotButton="0" quotePrefix="0" xfId="0"/>
    <xf numFmtId="0" fontId="4" fillId="3" borderId="2" pivotButton="0" quotePrefix="0" xfId="0"/>
    <xf numFmtId="1" fontId="4" fillId="4" borderId="2" pivotButton="0" quotePrefix="0" xfId="0"/>
    <xf numFmtId="165" fontId="4" fillId="4" borderId="2" pivotButton="0" quotePrefix="0" xfId="0"/>
    <xf numFmtId="165" fontId="4" fillId="6" borderId="2" pivotButton="0" quotePrefix="0" xfId="0"/>
    <xf numFmtId="1" fontId="5" fillId="3" borderId="2" pivotButton="0" quotePrefix="0" xfId="0"/>
    <xf numFmtId="166" fontId="5" fillId="3" borderId="2" pivotButton="0" quotePrefix="0" xfId="0"/>
    <xf numFmtId="165" fontId="5" fillId="6" borderId="2" pivotButton="0" quotePrefix="0" xfId="0"/>
    <xf numFmtId="0" fontId="4" fillId="5" borderId="2" pivotButton="0" quotePrefix="0" xfId="0"/>
    <xf numFmtId="165" fontId="4" fillId="3" borderId="2" pivotButton="0" quotePrefix="0" xfId="0"/>
  </cellXfs>
  <cellStyles count="1">
    <cellStyle name="Normal" xfId="0" builtinId="0" hidden="0"/>
  </cellStyles>
  <dxfs count="6">
    <dxf>
      <font>
        <b val="1"/>
        <color rgb="00B23A32"/>
      </font>
      <fill>
        <patternFill patternType="solid">
          <fgColor rgb="00F8DEDB"/>
          <bgColor rgb="00F8DEDB"/>
        </patternFill>
      </fill>
    </dxf>
    <dxf>
      <font>
        <b val="1"/>
        <color rgb="009A6400"/>
      </font>
      <fill>
        <patternFill patternType="solid">
          <fgColor rgb="00FBEFCF"/>
          <bgColor rgb="00FBEFCF"/>
        </patternFill>
      </fill>
    </dxf>
    <dxf>
      <font>
        <b val="1"/>
        <color rgb="001F7A45"/>
      </font>
      <fill>
        <patternFill patternType="solid">
          <fgColor rgb="00DDF1E4"/>
          <bgColor rgb="00DDF1E4"/>
        </patternFill>
      </fill>
    </dxf>
    <dxf>
      <font>
        <b val="1"/>
        <color rgb="0062666B"/>
      </font>
      <fill>
        <patternFill patternType="solid">
          <fgColor rgb="00F5F6F7"/>
          <bgColor rgb="00F5F6F7"/>
        </patternFill>
      </fill>
    </dxf>
    <dxf>
      <font>
        <b val="1"/>
        <color rgb="00B23A32"/>
      </font>
    </dxf>
    <dxf>
      <font>
        <color rgb="00B23A3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Value won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'Sales by month'!G4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'Sales by month'!$B$5:$B$16</f>
            </numRef>
          </cat>
          <val>
            <numRef>
              <f>'Sales by month'!$G$5:$G$16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Money in and out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'Cash by month'!C4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'Cash by month'!$B$5:$B$16</f>
            </numRef>
          </cat>
          <val>
            <numRef>
              <f>'Cash by month'!$C$5:$C$16</f>
            </numRef>
          </val>
        </ser>
        <ser>
          <idx val="1"/>
          <order val="1"/>
          <tx>
            <strRef>
              <f>'Cash by month'!D4</f>
            </strRef>
          </tx>
          <spPr>
            <a:solidFill>
              <a:srgbClr val="17191C"/>
            </a:solidFill>
            <a:ln>
              <a:solidFill>
                <a:srgbClr val="17191C"/>
              </a:solidFill>
              <a:prstDash val="solid"/>
            </a:ln>
          </spPr>
          <cat>
            <numRef>
              <f>'Cash by month'!$B$5:$B$16</f>
            </numRef>
          </cat>
          <val>
            <numRef>
              <f>'Cash by month'!$D$5:$D$16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Hours by person this year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'Jobs dashboard'!C14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'Jobs dashboard'!$B$15:$B$20</f>
            </numRef>
          </cat>
          <val>
            <numRef>
              <f>'Jobs dashboard'!$C$15:$C$20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Stock value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'Stock dashboard'!D13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'Stock dashboard'!$B$14:$B$18</f>
            </numRef>
          </cat>
          <val>
            <numRef>
              <f>'Stock dashboard'!$D$14:$D$18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Hours worked this year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'Team summary'!I4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'Team summary'!$A$5:$A$10</f>
            </numRef>
          </cat>
          <val>
            <numRef>
              <f>'Team summary'!$I$5:$I$10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RotaVoo</author>
  </authors>
  <commentList>
    <comment ref="B6" authorId="0" shapeId="0">
      <text>
        <t>All monthly summaries and "this year" figures use this year.</t>
      </text>
    </comment>
    <comment ref="B7" authorId="0" shapeId="0">
      <text>
        <t>Example value. Enter your real bank and cash balance at the start of the year.</t>
      </text>
    </comment>
    <comment ref="B8" authorId="0" shapeId="0">
      <text>
        <t>Example value. Use your full cost per hour (salary, social security, insurance), not the price you charge.</t>
      </text>
    </comment>
    <comment ref="B9" authorId="0" shapeId="0">
      <text>
        <t>Looked up from the Easter table (2025–2040). Used for Good Friday and Corpus Christi.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ipeline" displayName="Pipeline" ref="A1:N13" headerRowCount="1">
  <autoFilter ref="A1:N13"/>
  <tableColumns count="14">
    <tableColumn id="1" name="Date received"/>
    <tableColumn id="2" name="Customer"/>
    <tableColumn id="3" name="Contact person"/>
    <tableColumn id="4" name="Phone or email"/>
    <tableColumn id="5" name="Source"/>
    <tableColumn id="6" name="Product or service"/>
    <tableColumn id="7" name="Quote value €"/>
    <tableColumn id="8" name="Stage"/>
    <tableColumn id="9" name="Quote sent"/>
    <tableColumn id="10" name="Next follow-up"/>
    <tableColumn id="11" name="Closed date (won or lost)"/>
    <tableColumn id="12" name="Notes"/>
    <tableColumn id="13" name="Days open"/>
    <tableColumn id="14" name="Follow-up status"/>
  </tableColumns>
  <tableStyleInfo name="TableStyleLight1" showRowStripes="0"/>
</table>
</file>

<file path=xl/tables/table2.xml><?xml version="1.0" encoding="utf-8"?>
<table xmlns="http://schemas.openxmlformats.org/spreadsheetml/2006/main" id="2" name="Transactions" displayName="Transactions" ref="A1:J13" headerRowCount="1">
  <autoFilter ref="A1:J13"/>
  <tableColumns count="10">
    <tableColumn id="1" name="Date"/>
    <tableColumn id="2" name="Description"/>
    <tableColumn id="3" name="Category"/>
    <tableColumn id="4" name="Amount €"/>
    <tableColumn id="5" name="Payment method"/>
    <tableColumn id="6" name="Invoice or reference"/>
    <tableColumn id="7" name="Notes"/>
    <tableColumn id="8" name="Type"/>
    <tableColumn id="9" name="In (+) / out (−) €"/>
    <tableColumn id="10" name="Running balance € (in row order)"/>
  </tableColumns>
  <tableStyleInfo name="TableStyleLight1" showRowStripes="0"/>
</table>
</file>

<file path=xl/tables/table3.xml><?xml version="1.0" encoding="utf-8"?>
<table xmlns="http://schemas.openxmlformats.org/spreadsheetml/2006/main" id="3" name="Jobs" displayName="Jobs" ref="A1:Q13" headerRowCount="1">
  <autoFilter ref="A1:Q13"/>
  <tableColumns count="17">
    <tableColumn id="1" name="Job ID"/>
    <tableColumn id="2" name="Job"/>
    <tableColumn id="3" name="Client"/>
    <tableColumn id="4" name="Owner"/>
    <tableColumn id="5" name="Start date"/>
    <tableColumn id="6" name="Deadline"/>
    <tableColumn id="7" name="Status"/>
    <tableColumn id="8" name="Price agreed €"/>
    <tableColumn id="9" name="Estimated hours"/>
    <tableColumn id="10" name="Materials and other costs €"/>
    <tableColumn id="11" name="Hours logged"/>
    <tableColumn id="12" name="Labour cost €"/>
    <tableColumn id="13" name="Total cost €"/>
    <tableColumn id="14" name="Profit €"/>
    <tableColumn id="15" name="Margin"/>
    <tableColumn id="16" name="Hours used vs estimate"/>
    <tableColumn id="17" name="Deadline check"/>
  </tableColumns>
  <tableStyleInfo name="TableStyleLight1" showRowStripes="0"/>
</table>
</file>

<file path=xl/tables/table4.xml><?xml version="1.0" encoding="utf-8"?>
<table xmlns="http://schemas.openxmlformats.org/spreadsheetml/2006/main" id="4" name="Timesheet" displayName="Timesheet" ref="A1:F13" headerRowCount="1">
  <autoFilter ref="A1:F13"/>
  <tableColumns count="6">
    <tableColumn id="1" name="Date"/>
    <tableColumn id="2" name="Job ID"/>
    <tableColumn id="3" name="Person"/>
    <tableColumn id="4" name="Hours"/>
    <tableColumn id="5" name="What was done"/>
    <tableColumn id="6" name="Job name"/>
  </tableColumns>
  <tableStyleInfo name="TableStyleLight1" showRowStripes="0"/>
</table>
</file>

<file path=xl/tables/table5.xml><?xml version="1.0" encoding="utf-8"?>
<table xmlns="http://schemas.openxmlformats.org/spreadsheetml/2006/main" id="5" name="Items" displayName="Items" ref="A1:P13" headerRowCount="1">
  <autoFilter ref="A1:P13"/>
  <tableColumns count="16">
    <tableColumn id="1" name="Item code"/>
    <tableColumn id="2" name="Item"/>
    <tableColumn id="3" name="Category"/>
    <tableColumn id="4" name="Unit"/>
    <tableColumn id="5" name="Supplier"/>
    <tableColumn id="6" name="Unit cost €"/>
    <tableColumn id="7" name="Opening stock"/>
    <tableColumn id="8" name="Received"/>
    <tableColumn id="9" name="Issued"/>
    <tableColumn id="10" name="Adjustments"/>
    <tableColumn id="11" name="Current stock"/>
    <tableColumn id="12" name="Reorder level"/>
    <tableColumn id="13" name="Usual order quantity"/>
    <tableColumn id="14" name="Status"/>
    <tableColumn id="15" name="Stock value €"/>
    <tableColumn id="16" name="Reorder list order (helper)"/>
  </tableColumns>
  <tableStyleInfo name="TableStyleLight1" showRowStripes="0"/>
</table>
</file>

<file path=xl/tables/table6.xml><?xml version="1.0" encoding="utf-8"?>
<table xmlns="http://schemas.openxmlformats.org/spreadsheetml/2006/main" id="6" name="Movements" displayName="Movements" ref="A1:G13" headerRowCount="1">
  <autoFilter ref="A1:G13"/>
  <tableColumns count="7">
    <tableColumn id="1" name="Date"/>
    <tableColumn id="2" name="Item code"/>
    <tableColumn id="3" name="Item"/>
    <tableColumn id="4" name="Type"/>
    <tableColumn id="5" name="Quantity (adjustments can be negative)"/>
    <tableColumn id="6" name="Reference"/>
    <tableColumn id="7" name="Notes"/>
  </tableColumns>
  <tableStyleInfo name="TableStyleLight1" showRowStripes="0"/>
</table>
</file>

<file path=xl/tables/table7.xml><?xml version="1.0" encoding="utf-8"?>
<table xmlns="http://schemas.openxmlformats.org/spreadsheetml/2006/main" id="7" name="Shifts" displayName="Shifts" ref="A1:H13" headerRowCount="1">
  <autoFilter ref="A1:H13"/>
  <tableColumns count="8">
    <tableColumn id="1" name="Person"/>
    <tableColumn id="2" name="Date"/>
    <tableColumn id="3" name="Start"/>
    <tableColumn id="4" name="End"/>
    <tableColumn id="5" name="Break (hours)"/>
    <tableColumn id="6" name="Hours worked"/>
    <tableColumn id="7" name="Week starting (Monday)"/>
    <tableColumn id="8" name="Notes"/>
  </tableColumns>
  <tableStyleInfo name="TableStyleLight1" showRowStripes="0"/>
</table>
</file>

<file path=xl/tables/table8.xml><?xml version="1.0" encoding="utf-8"?>
<table xmlns="http://schemas.openxmlformats.org/spreadsheetml/2006/main" id="8" name="Absences" displayName="Absences" ref="A1:G13" headerRowCount="1">
  <autoFilter ref="A1:G13"/>
  <tableColumns count="7">
    <tableColumn id="1" name="Person"/>
    <tableColumn id="2" name="Type"/>
    <tableColumn id="3" name="From"/>
    <tableColumn id="4" name="To (inclusive)"/>
    <tableColumn id="5" name="Working days"/>
    <tableColumn id="6" name="Approved"/>
    <tableColumn id="7" name="Note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10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13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14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15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16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_rels/sheet18.xml.rels><Relationships xmlns="http://schemas.openxmlformats.org/package/2006/relationships"><Relationship Type="http://schemas.openxmlformats.org/officeDocument/2006/relationships/table" Target="/xl/tables/table7.xml" Id="rId1" /></Relationships>
</file>

<file path=xl/worksheets/_rels/sheet19.xml.rels><Relationships xmlns="http://schemas.openxmlformats.org/package/2006/relationships"><Relationship Type="http://schemas.openxmlformats.org/officeDocument/2006/relationships/table" Target="/xl/tables/table8.xml" Id="rId1" /></Relationships>
</file>

<file path=xl/worksheets/_rels/sheet2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009C45"/>
    <outlinePr summaryBelow="1" summaryRight="1"/>
    <pageSetUpPr/>
  </sheetPr>
  <dimension ref="A1:C48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</cols>
  <sheetData>
    <row r="1">
      <c r="A1" s="1" t="n"/>
      <c r="B1" s="2" t="inlineStr">
        <is>
          <t>Business Bundle</t>
        </is>
      </c>
    </row>
    <row r="2">
      <c r="B2" s="3" t="inlineStr">
        <is>
          <t>RotaVoo · All five tools plus a management dashboard that brings the key figures together.</t>
        </is>
      </c>
    </row>
    <row r="4" ht="30" customHeight="1">
      <c r="B4" s="4" t="inlineStr">
        <is>
          <t>PREVIEW</t>
        </is>
      </c>
      <c r="C4" s="5" t="inlineStr">
        <is>
          <t>A free preview with 12 example rows, read-only. The full tool (1,000 rows per sheet, ready for your own data) is at rotavoo.pt.</t>
        </is>
      </c>
    </row>
    <row r="6">
      <c r="B6" s="6" t="inlineStr">
        <is>
          <t>How to start</t>
        </is>
      </c>
    </row>
    <row r="7">
      <c r="B7" s="7" t="inlineStr">
        <is>
          <t>1.</t>
        </is>
      </c>
      <c r="C7" s="8" t="inlineStr">
        <is>
          <t>Open Settings. Enter your business name and the year. Replace the example lists (team, categories, sources) with your own.</t>
        </is>
      </c>
    </row>
    <row r="8">
      <c r="B8" s="7" t="inlineStr">
        <is>
          <t>2.</t>
        </is>
      </c>
      <c r="C8" s="8" t="inlineStr">
        <is>
          <t>The data sheets contain fictional example rows so you can see how everything works. Select them and press Delete to clear the white cells. Do not delete the green columns.</t>
        </is>
      </c>
    </row>
    <row r="9">
      <c r="B9" s="7" t="inlineStr">
        <is>
          <t>3.</t>
        </is>
      </c>
      <c r="C9" s="8" t="inlineStr">
        <is>
          <t>Add one row per entry. Use the dropdowns where they appear.</t>
        </is>
      </c>
    </row>
    <row r="10">
      <c r="B10" s="7" t="inlineStr">
        <is>
          <t>4.</t>
        </is>
      </c>
      <c r="C10" s="8" t="inlineStr">
        <is>
          <t>Open the dashboard whenever you want the current picture. Everything recalculates by itself.</t>
        </is>
      </c>
    </row>
    <row r="12">
      <c r="B12" s="6" t="inlineStr">
        <is>
          <t>Colour guide</t>
        </is>
      </c>
    </row>
    <row r="13">
      <c r="B13" s="9" t="inlineStr">
        <is>
          <t>White cell</t>
        </is>
      </c>
      <c r="C13" s="8" t="inlineStr">
        <is>
          <t>Type here.</t>
        </is>
      </c>
    </row>
    <row r="14">
      <c r="B14" s="10" t="inlineStr">
        <is>
          <t>Green cell</t>
        </is>
      </c>
      <c r="C14" s="8" t="inlineStr">
        <is>
          <t>Calculated automatically. Do not type over it.</t>
        </is>
      </c>
    </row>
    <row r="15">
      <c r="B15" s="11" t="inlineStr">
        <is>
          <t>Yellow cell</t>
        </is>
      </c>
      <c r="C15" s="8" t="inlineStr">
        <is>
          <t>A setting you can change.</t>
        </is>
      </c>
    </row>
    <row r="16">
      <c r="B16" s="12" t="inlineStr">
        <is>
          <t>Grey list</t>
        </is>
      </c>
      <c r="C16" s="8" t="inlineStr">
        <is>
          <t>Fixed words the formulas rely on. Do not rename.</t>
        </is>
      </c>
    </row>
    <row r="18">
      <c r="B18" s="6" t="inlineStr">
        <is>
          <t>What is in this file</t>
        </is>
      </c>
    </row>
    <row r="19">
      <c r="B19" s="7" t="inlineStr">
        <is>
          <t>Management dashboard</t>
        </is>
      </c>
      <c r="C19" s="8" t="inlineStr">
        <is>
          <t>The key figures from all five tools on one page.</t>
        </is>
      </c>
    </row>
    <row r="20">
      <c r="B20" s="7" t="inlineStr">
        <is>
          <t>Sales dashboard</t>
        </is>
      </c>
      <c r="C20" s="8" t="inlineStr">
        <is>
          <t>Open pipeline, follow-ups due, value won, win rate, results by source and stage.</t>
        </is>
      </c>
    </row>
    <row r="21">
      <c r="B21" s="7" t="inlineStr">
        <is>
          <t>Pipeline</t>
        </is>
      </c>
      <c r="C21" s="8" t="inlineStr">
        <is>
          <t>One row per enquiry. Move it through the stages and set the next follow-up date.</t>
        </is>
      </c>
    </row>
    <row r="22">
      <c r="B22" s="7" t="inlineStr">
        <is>
          <t>Sales by month</t>
        </is>
      </c>
      <c r="C22" s="8" t="inlineStr">
        <is>
          <t>Enquiries, quotes, wins, losses and win rate for each month.</t>
        </is>
      </c>
    </row>
    <row r="23">
      <c r="B23" s="7" t="inlineStr">
        <is>
          <t>Finance dashboard</t>
        </is>
      </c>
      <c r="C23" s="8" t="inlineStr">
        <is>
          <t>Money in, money out, net result, cash and the biggest costs.</t>
        </is>
      </c>
    </row>
    <row r="24">
      <c r="B24" s="7" t="inlineStr">
        <is>
          <t>Transactions</t>
        </is>
      </c>
      <c r="C24" s="8" t="inlineStr">
        <is>
          <t>One row per payment in or out. The category decides whether it is income or expense.</t>
        </is>
      </c>
    </row>
    <row r="25">
      <c r="B25" s="7" t="inlineStr">
        <is>
          <t>Cash by month</t>
        </is>
      </c>
      <c r="C25" s="8" t="inlineStr">
        <is>
          <t>Monthly money in, money out and cash at the end of each month.</t>
        </is>
      </c>
    </row>
    <row r="26">
      <c r="B26" s="7" t="inlineStr">
        <is>
          <t>Categories by month</t>
        </is>
      </c>
      <c r="C26" s="8" t="inlineStr">
        <is>
          <t>Every category for every month of the year.</t>
        </is>
      </c>
    </row>
    <row r="27">
      <c r="B27" s="7" t="inlineStr">
        <is>
          <t>Jobs dashboard</t>
        </is>
      </c>
      <c r="C27" s="8" t="inlineStr">
        <is>
          <t>Active and overdue jobs, profit, margin and hours by person.</t>
        </is>
      </c>
    </row>
    <row r="28">
      <c r="B28" s="7" t="inlineStr">
        <is>
          <t>Jobs</t>
        </is>
      </c>
      <c r="C28" s="8" t="inlineStr">
        <is>
          <t>One row per job with price, estimate and deadline. Cost, profit and margin calculate from logged hours.</t>
        </is>
      </c>
    </row>
    <row r="29">
      <c r="B29" s="7" t="inlineStr">
        <is>
          <t>Timesheet</t>
        </is>
      </c>
      <c r="C29" s="8" t="inlineStr">
        <is>
          <t>Log hours against a job ID.</t>
        </is>
      </c>
    </row>
    <row r="30">
      <c r="B30" s="7" t="inlineStr">
        <is>
          <t>Stock dashboard</t>
        </is>
      </c>
      <c r="C30" s="8" t="inlineStr">
        <is>
          <t>Stock value, items to reorder and value by category.</t>
        </is>
      </c>
    </row>
    <row r="31">
      <c r="B31" s="7" t="inlineStr">
        <is>
          <t>Items</t>
        </is>
      </c>
      <c r="C31" s="8" t="inlineStr">
        <is>
          <t>One row per item with cost, opening stock and reorder level.</t>
        </is>
      </c>
    </row>
    <row r="32">
      <c r="B32" s="7" t="inlineStr">
        <is>
          <t>Stock movements</t>
        </is>
      </c>
      <c r="C32" s="8" t="inlineStr">
        <is>
          <t>Every delivery in, use or sale out, and stock-count adjustment.</t>
        </is>
      </c>
    </row>
    <row r="33">
      <c r="B33" s="7" t="inlineStr">
        <is>
          <t>Reorder list</t>
        </is>
      </c>
      <c r="C33" s="8" t="inlineStr">
        <is>
          <t>Builds itself: what to order, how much and the estimated cost.</t>
        </is>
      </c>
    </row>
    <row r="34">
      <c r="B34" s="7" t="inlineStr">
        <is>
          <t>Team dashboard</t>
        </is>
      </c>
      <c r="C34" s="8" t="inlineStr">
        <is>
          <t>Who is off today, pending requests, hours and holiday left.</t>
        </is>
      </c>
    </row>
    <row r="35">
      <c r="B35" s="7" t="inlineStr">
        <is>
          <t>Weekly rota</t>
        </is>
      </c>
      <c r="C35" s="8" t="inlineStr">
        <is>
          <t>Pick a Monday to see that week person by person.</t>
        </is>
      </c>
    </row>
    <row r="36">
      <c r="B36" s="7" t="inlineStr">
        <is>
          <t>Shifts</t>
        </is>
      </c>
      <c r="C36" s="8" t="inlineStr">
        <is>
          <t>One row per shift: person, date, start, end and break.</t>
        </is>
      </c>
    </row>
    <row r="37">
      <c r="B37" s="7" t="inlineStr">
        <is>
          <t>Absences</t>
        </is>
      </c>
      <c r="C37" s="8" t="inlineStr">
        <is>
          <t>Holidays, sick leave and other absences. Working days skip weekends and public holidays.</t>
        </is>
      </c>
    </row>
    <row r="38">
      <c r="B38" s="7" t="inlineStr">
        <is>
          <t>Team summary</t>
        </is>
      </c>
      <c r="C38" s="8" t="inlineStr">
        <is>
          <t>Holiday allowance, taken, waiting and left, plus hours, per person.</t>
        </is>
      </c>
    </row>
    <row r="39">
      <c r="B39" s="7" t="inlineStr">
        <is>
          <t>Settings</t>
        </is>
      </c>
      <c r="C39" s="8" t="inlineStr">
        <is>
          <t>Business name, year, lists and rates used by every sheet.</t>
        </is>
      </c>
    </row>
    <row r="41">
      <c r="B41" s="6" t="inlineStr">
        <is>
          <t>Good to know</t>
        </is>
      </c>
    </row>
    <row r="42">
      <c r="B42" s="7" t="inlineStr">
        <is>
          <t>Capacity</t>
        </is>
      </c>
      <c r="C42" s="8" t="inlineStr">
        <is>
          <t>Each data sheet is ready for 1,000 rows. To go further, copy the last row down: the green formulas follow.</t>
        </is>
      </c>
    </row>
    <row r="43">
      <c r="B43" s="7" t="inlineStr">
        <is>
          <t>Google Sheets</t>
        </is>
      </c>
      <c r="C43" s="8" t="inlineStr">
        <is>
          <t>Upload the file to Google Drive and choose Open with Google Sheets. Formulas, dropdowns and charts carry over.</t>
        </is>
      </c>
    </row>
    <row r="44">
      <c r="B44" s="7" t="inlineStr">
        <is>
          <t>Dates</t>
        </is>
      </c>
      <c r="C44" s="8" t="inlineStr">
        <is>
          <t>Enter dates as day/month/year. Times as hh:mm.</t>
        </is>
      </c>
    </row>
    <row r="45">
      <c r="B45" s="7" t="inlineStr">
        <is>
          <t>Not certified software</t>
        </is>
      </c>
      <c r="C45" s="8" t="inlineStr">
        <is>
          <t>This is a management aid. It does not issue invoices: in Portugal invoices must come from certified invoicing software. It is not payroll or tax-filing software.</t>
        </is>
      </c>
    </row>
    <row r="46">
      <c r="B46" s="7" t="inlineStr">
        <is>
          <t>Public holidays</t>
        </is>
      </c>
      <c r="C46" s="8" t="inlineStr">
        <is>
          <t>National holidays for the year in Settings are calculated for you, Easter-based ones included. Add your municipal holiday there.</t>
        </is>
      </c>
    </row>
    <row r="48">
      <c r="B48" s="13" t="inlineStr">
        <is>
          <t>Need it adapted to your process? RotaVoo can customise this tool for you.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Management dashboard</t>
        </is>
      </c>
    </row>
    <row r="2">
      <c r="A2" s="3">
        <f>BizName&amp;" · Year "&amp;SelYear</f>
        <v/>
      </c>
    </row>
    <row r="3">
      <c r="A3" s="13" t="inlineStr">
        <is>
          <t>The key figures from all five tools in one place.</t>
        </is>
      </c>
    </row>
    <row r="5">
      <c r="B5" s="14" t="inlineStr">
        <is>
          <t>Needs attention</t>
        </is>
      </c>
    </row>
    <row r="6">
      <c r="B6" s="15" t="inlineStr">
        <is>
          <t>Sales follow-ups overdue</t>
        </is>
      </c>
      <c r="D6" s="15" t="inlineStr">
        <is>
          <t>Jobs overdue</t>
        </is>
      </c>
      <c r="F6" s="15" t="inlineStr">
        <is>
          <t>Items to reorder or out of stock</t>
        </is>
      </c>
      <c r="H6" s="15" t="inlineStr">
        <is>
          <t>Absence requests waiting</t>
        </is>
      </c>
    </row>
    <row r="7">
      <c r="B7" s="16">
        <f>'Sales dashboard'!$F$7</f>
        <v/>
      </c>
      <c r="D7" s="16">
        <f>'Jobs dashboard'!$D$7</f>
        <v/>
      </c>
      <c r="F7" s="16">
        <f>'Stock dashboard'!$F$7+'Stock dashboard'!$H$7</f>
        <v/>
      </c>
      <c r="H7" s="16">
        <f>'Team dashboard'!$F$7</f>
        <v/>
      </c>
    </row>
    <row r="9">
      <c r="B9" s="14" t="inlineStr">
        <is>
          <t>Money this year</t>
        </is>
      </c>
    </row>
    <row r="10">
      <c r="B10" s="15" t="inlineStr">
        <is>
          <t>Money in</t>
        </is>
      </c>
      <c r="D10" s="15" t="inlineStr">
        <is>
          <t>Money out</t>
        </is>
      </c>
      <c r="F10" s="15" t="inlineStr">
        <is>
          <t>Net result (cash)</t>
        </is>
      </c>
      <c r="H10" s="15" t="inlineStr">
        <is>
          <t>Cash after all entries this year</t>
        </is>
      </c>
    </row>
    <row r="11">
      <c r="B11" s="17">
        <f>'Finance dashboard'!$B$7</f>
        <v/>
      </c>
      <c r="D11" s="17">
        <f>'Finance dashboard'!$D$7</f>
        <v/>
      </c>
      <c r="F11" s="17">
        <f>'Finance dashboard'!$F$7</f>
        <v/>
      </c>
      <c r="H11" s="17">
        <f>'Finance dashboard'!$H$7</f>
        <v/>
      </c>
    </row>
    <row r="13">
      <c r="B13" s="14" t="inlineStr">
        <is>
          <t>Sales and work</t>
        </is>
      </c>
    </row>
    <row r="14">
      <c r="B14" s="15" t="inlineStr">
        <is>
          <t>Open pipeline value</t>
        </is>
      </c>
      <c r="D14" s="15" t="inlineStr">
        <is>
          <t>Value won this year</t>
        </is>
      </c>
      <c r="F14" s="15" t="inlineStr">
        <is>
          <t>Win rate this year</t>
        </is>
      </c>
      <c r="H14" s="15" t="inlineStr">
        <is>
          <t>Value of active jobs</t>
        </is>
      </c>
    </row>
    <row r="15">
      <c r="B15" s="17">
        <f>'Sales dashboard'!$B$7</f>
        <v/>
      </c>
      <c r="D15" s="17">
        <f>'Sales dashboard'!$B$11</f>
        <v/>
      </c>
      <c r="F15" s="18">
        <f>'Sales dashboard'!$F$11</f>
        <v/>
      </c>
      <c r="H15" s="17">
        <f>'Jobs dashboard'!$H$7</f>
        <v/>
      </c>
    </row>
    <row r="17">
      <c r="B17" s="15" t="inlineStr">
        <is>
          <t>Profit on completed jobs</t>
        </is>
      </c>
      <c r="D17" s="15" t="inlineStr">
        <is>
          <t>Average job margin</t>
        </is>
      </c>
      <c r="F17" s="15" t="inlineStr">
        <is>
          <t>Stock value</t>
        </is>
      </c>
      <c r="H17" s="15" t="inlineStr">
        <is>
          <t>Cost of suggested orders</t>
        </is>
      </c>
    </row>
    <row r="18">
      <c r="B18" s="17">
        <f>'Jobs dashboard'!$D$11</f>
        <v/>
      </c>
      <c r="D18" s="18">
        <f>'Jobs dashboard'!$F$11</f>
        <v/>
      </c>
      <c r="F18" s="17">
        <f>'Stock dashboard'!$D$7</f>
        <v/>
      </c>
      <c r="H18" s="17">
        <f>'Stock dashboard'!$B$10</f>
        <v/>
      </c>
    </row>
    <row r="20">
      <c r="B20" s="14" t="inlineStr">
        <is>
          <t>Team</t>
        </is>
      </c>
    </row>
    <row r="21">
      <c r="B21" s="15" t="inlineStr">
        <is>
          <t>Off today</t>
        </is>
      </c>
      <c r="D21" s="15" t="inlineStr">
        <is>
          <t>Hours in rota week</t>
        </is>
      </c>
      <c r="F21" s="15" t="inlineStr">
        <is>
          <t>Holiday days left (team)</t>
        </is>
      </c>
      <c r="H21" s="15" t="inlineStr">
        <is>
          <t>Next public holiday</t>
        </is>
      </c>
    </row>
    <row r="22">
      <c r="B22" s="16">
        <f>'Team dashboard'!$D$7</f>
        <v/>
      </c>
      <c r="D22" s="19">
        <f>'Team dashboard'!$B$11</f>
        <v/>
      </c>
      <c r="F22" s="19">
        <f>'Team dashboard'!$F$11</f>
        <v/>
      </c>
      <c r="H22" s="20">
        <f>'Team dashboard'!$H$7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Sales dashboard</t>
        </is>
      </c>
    </row>
    <row r="2">
      <c r="A2" s="3">
        <f>BizName&amp;" · Year "&amp;SelYear</f>
        <v/>
      </c>
    </row>
    <row r="3">
      <c r="A3" s="13" t="inlineStr">
        <is>
          <t>Updates automatically from the Pipeline sheet.</t>
        </is>
      </c>
    </row>
    <row r="5">
      <c r="B5" s="14" t="inlineStr">
        <is>
          <t>Pipeline today</t>
        </is>
      </c>
    </row>
    <row r="6">
      <c r="B6" s="15" t="inlineStr">
        <is>
          <t>Open pipeline value</t>
        </is>
      </c>
      <c r="D6" s="15" t="inlineStr">
        <is>
          <t>Open opportunities</t>
        </is>
      </c>
      <c r="F6" s="15" t="inlineStr">
        <is>
          <t>Follow-ups overdue</t>
        </is>
      </c>
      <c r="H6" s="15" t="inlineStr">
        <is>
          <t>Follow-ups due today</t>
        </is>
      </c>
    </row>
    <row r="7">
      <c r="B7" s="17">
        <f>SUMIFS('Pipeline'!$G$2:$G$13,'Pipeline'!$H$2:$H$13,"New")+SUMIFS('Pipeline'!$G$2:$G$13,'Pipeline'!$H$2:$H$13,"Contacted")+SUMIFS('Pipeline'!$G$2:$G$13,'Pipeline'!$H$2:$H$13,"Quoted")</f>
        <v/>
      </c>
      <c r="D7" s="16">
        <f>COUNTIF('Pipeline'!$H$2:$H$13,"New")+COUNTIF('Pipeline'!$H$2:$H$13,"Contacted")+COUNTIF('Pipeline'!$H$2:$H$13,"Quoted")</f>
        <v/>
      </c>
      <c r="F7" s="16">
        <f>COUNTIF('Pipeline'!$N$2:$N$13,"Overdue")</f>
        <v/>
      </c>
      <c r="H7" s="16">
        <f>COUNTIF('Pipeline'!$N$2:$N$13,"Today")</f>
        <v/>
      </c>
    </row>
    <row r="9">
      <c r="B9" s="14" t="inlineStr">
        <is>
          <t>This year</t>
        </is>
      </c>
    </row>
    <row r="10">
      <c r="B10" s="15" t="inlineStr">
        <is>
          <t>Value won</t>
        </is>
      </c>
      <c r="D10" s="15" t="inlineStr">
        <is>
          <t>Deals won</t>
        </is>
      </c>
      <c r="F10" s="15" t="inlineStr">
        <is>
          <t>Win rate</t>
        </is>
      </c>
      <c r="H10" s="15" t="inlineStr">
        <is>
          <t>Average won deal</t>
        </is>
      </c>
    </row>
    <row r="11">
      <c r="B11" s="17">
        <f>'Sales by month'!G17</f>
        <v/>
      </c>
      <c r="D11" s="16">
        <f>'Sales by month'!F17</f>
        <v/>
      </c>
      <c r="F11" s="18">
        <f>'Sales by month'!I17</f>
        <v/>
      </c>
      <c r="H11" s="17">
        <f>'Sales by month'!J17</f>
        <v/>
      </c>
    </row>
    <row r="13">
      <c r="B13" s="14" t="inlineStr">
        <is>
          <t>By source (all time)</t>
        </is>
      </c>
    </row>
    <row r="14">
      <c r="B14" s="21" t="inlineStr">
        <is>
          <t>Source</t>
        </is>
      </c>
      <c r="C14" s="21" t="inlineStr">
        <is>
          <t>Enquiries</t>
        </is>
      </c>
      <c r="D14" s="21" t="inlineStr">
        <is>
          <t>Value won €</t>
        </is>
      </c>
    </row>
    <row r="15">
      <c r="B15" s="22">
        <f>IF(INDEX(SourceList,1)="","",INDEX(SourceList,1))</f>
        <v/>
      </c>
      <c r="C15" s="23">
        <f>IF(B15="","",COUNTIF('Pipeline'!$E$2:$E$13,B15))</f>
        <v/>
      </c>
      <c r="D15" s="24">
        <f>IF(B15="","",SUMIFS('Pipeline'!$G$2:$G$13,'Pipeline'!$E$2:$E$13,B15,'Pipeline'!$H$2:$H$13,"Won"))</f>
        <v/>
      </c>
    </row>
    <row r="16">
      <c r="B16" s="22">
        <f>IF(INDEX(SourceList,2)="","",INDEX(SourceList,2))</f>
        <v/>
      </c>
      <c r="C16" s="23">
        <f>IF(B16="","",COUNTIF('Pipeline'!$E$2:$E$13,B16))</f>
        <v/>
      </c>
      <c r="D16" s="24">
        <f>IF(B16="","",SUMIFS('Pipeline'!$G$2:$G$13,'Pipeline'!$E$2:$E$13,B16,'Pipeline'!$H$2:$H$13,"Won"))</f>
        <v/>
      </c>
    </row>
    <row r="17">
      <c r="B17" s="22">
        <f>IF(INDEX(SourceList,3)="","",INDEX(SourceList,3))</f>
        <v/>
      </c>
      <c r="C17" s="23">
        <f>IF(B17="","",COUNTIF('Pipeline'!$E$2:$E$13,B17))</f>
        <v/>
      </c>
      <c r="D17" s="24">
        <f>IF(B17="","",SUMIFS('Pipeline'!$G$2:$G$13,'Pipeline'!$E$2:$E$13,B17,'Pipeline'!$H$2:$H$13,"Won"))</f>
        <v/>
      </c>
    </row>
    <row r="18">
      <c r="B18" s="22">
        <f>IF(INDEX(SourceList,4)="","",INDEX(SourceList,4))</f>
        <v/>
      </c>
      <c r="C18" s="23">
        <f>IF(B18="","",COUNTIF('Pipeline'!$E$2:$E$13,B18))</f>
        <v/>
      </c>
      <c r="D18" s="24">
        <f>IF(B18="","",SUMIFS('Pipeline'!$G$2:$G$13,'Pipeline'!$E$2:$E$13,B18,'Pipeline'!$H$2:$H$13,"Won"))</f>
        <v/>
      </c>
    </row>
    <row r="19">
      <c r="B19" s="22">
        <f>IF(INDEX(SourceList,5)="","",INDEX(SourceList,5))</f>
        <v/>
      </c>
      <c r="C19" s="23">
        <f>IF(B19="","",COUNTIF('Pipeline'!$E$2:$E$13,B19))</f>
        <v/>
      </c>
      <c r="D19" s="24">
        <f>IF(B19="","",SUMIFS('Pipeline'!$G$2:$G$13,'Pipeline'!$E$2:$E$13,B19,'Pipeline'!$H$2:$H$13,"Won"))</f>
        <v/>
      </c>
    </row>
    <row r="20">
      <c r="B20" s="22">
        <f>IF(INDEX(SourceList,6)="","",INDEX(SourceList,6))</f>
        <v/>
      </c>
      <c r="C20" s="23">
        <f>IF(B20="","",COUNTIF('Pipeline'!$E$2:$E$13,B20))</f>
        <v/>
      </c>
      <c r="D20" s="24">
        <f>IF(B20="","",SUMIFS('Pipeline'!$G$2:$G$13,'Pipeline'!$E$2:$E$13,B20,'Pipeline'!$H$2:$H$13,"Won"))</f>
        <v/>
      </c>
    </row>
    <row r="21">
      <c r="B21" s="22">
        <f>IF(INDEX(SourceList,7)="","",INDEX(SourceList,7))</f>
        <v/>
      </c>
      <c r="C21" s="23">
        <f>IF(B21="","",COUNTIF('Pipeline'!$E$2:$E$13,B21))</f>
        <v/>
      </c>
      <c r="D21" s="24">
        <f>IF(B21="","",SUMIFS('Pipeline'!$G$2:$G$13,'Pipeline'!$E$2:$E$13,B21,'Pipeline'!$H$2:$H$13,"Won"))</f>
        <v/>
      </c>
    </row>
    <row r="22">
      <c r="B22" s="22">
        <f>IF(INDEX(SourceList,8)="","",INDEX(SourceList,8))</f>
        <v/>
      </c>
      <c r="C22" s="23">
        <f>IF(B22="","",COUNTIF('Pipeline'!$E$2:$E$13,B22))</f>
        <v/>
      </c>
      <c r="D22" s="24">
        <f>IF(B22="","",SUMIFS('Pipeline'!$G$2:$G$13,'Pipeline'!$E$2:$E$13,B22,'Pipeline'!$H$2:$H$13,"Won"))</f>
        <v/>
      </c>
    </row>
    <row r="23">
      <c r="B23" s="22">
        <f>IF(INDEX(SourceList,9)="","",INDEX(SourceList,9))</f>
        <v/>
      </c>
      <c r="C23" s="23">
        <f>IF(B23="","",COUNTIF('Pipeline'!$E$2:$E$13,B23))</f>
        <v/>
      </c>
      <c r="D23" s="24">
        <f>IF(B23="","",SUMIFS('Pipeline'!$G$2:$G$13,'Pipeline'!$E$2:$E$13,B23,'Pipeline'!$H$2:$H$13,"Won"))</f>
        <v/>
      </c>
    </row>
    <row r="24">
      <c r="B24" s="22">
        <f>IF(INDEX(SourceList,10)="","",INDEX(SourceList,10))</f>
        <v/>
      </c>
      <c r="C24" s="23">
        <f>IF(B24="","",COUNTIF('Pipeline'!$E$2:$E$13,B24))</f>
        <v/>
      </c>
      <c r="D24" s="24">
        <f>IF(B24="","",SUMIFS('Pipeline'!$G$2:$G$13,'Pipeline'!$E$2:$E$13,B24,'Pipeline'!$H$2:$H$13,"Won"))</f>
        <v/>
      </c>
    </row>
    <row r="26">
      <c r="B26" s="14" t="inlineStr">
        <is>
          <t>By stage (all time)</t>
        </is>
      </c>
    </row>
    <row r="27">
      <c r="B27" s="21" t="inlineStr">
        <is>
          <t>Stage</t>
        </is>
      </c>
      <c r="C27" s="21" t="inlineStr">
        <is>
          <t>Count</t>
        </is>
      </c>
      <c r="D27" s="21" t="inlineStr">
        <is>
          <t>Value €</t>
        </is>
      </c>
    </row>
    <row r="28">
      <c r="B28" s="22" t="inlineStr">
        <is>
          <t>New</t>
        </is>
      </c>
      <c r="C28" s="23">
        <f>COUNTIF('Pipeline'!$H$2:$H$13,"New")</f>
        <v/>
      </c>
      <c r="D28" s="24">
        <f>SUMIFS('Pipeline'!$G$2:$G$13,'Pipeline'!$H$2:$H$13,"New")</f>
        <v/>
      </c>
    </row>
    <row r="29">
      <c r="B29" s="22" t="inlineStr">
        <is>
          <t>Contacted</t>
        </is>
      </c>
      <c r="C29" s="23">
        <f>COUNTIF('Pipeline'!$H$2:$H$13,"Contacted")</f>
        <v/>
      </c>
      <c r="D29" s="24">
        <f>SUMIFS('Pipeline'!$G$2:$G$13,'Pipeline'!$H$2:$H$13,"Contacted")</f>
        <v/>
      </c>
    </row>
    <row r="30">
      <c r="B30" s="22" t="inlineStr">
        <is>
          <t>Quoted</t>
        </is>
      </c>
      <c r="C30" s="23">
        <f>COUNTIF('Pipeline'!$H$2:$H$13,"Quoted")</f>
        <v/>
      </c>
      <c r="D30" s="24">
        <f>SUMIFS('Pipeline'!$G$2:$G$13,'Pipeline'!$H$2:$H$13,"Quoted")</f>
        <v/>
      </c>
    </row>
    <row r="31">
      <c r="B31" s="22" t="inlineStr">
        <is>
          <t>Won</t>
        </is>
      </c>
      <c r="C31" s="23">
        <f>COUNTIF('Pipeline'!$H$2:$H$13,"Won")</f>
        <v/>
      </c>
      <c r="D31" s="24">
        <f>SUMIFS('Pipeline'!$G$2:$G$13,'Pipeline'!$H$2:$H$13,"Won")</f>
        <v/>
      </c>
    </row>
    <row r="32">
      <c r="B32" s="22" t="inlineStr">
        <is>
          <t>Lost</t>
        </is>
      </c>
      <c r="C32" s="23">
        <f>COUNTIF('Pipeline'!$H$2:$H$13,"Lost")</f>
        <v/>
      </c>
      <c r="D32" s="24">
        <f>SUMIFS('Pipeline'!$G$2:$G$13,'Pipeline'!$H$2:$H$13,"Lost")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Finance dashboard</t>
        </is>
      </c>
    </row>
    <row r="2">
      <c r="A2" s="3">
        <f>BizName&amp;" · Year "&amp;SelYear</f>
        <v/>
      </c>
    </row>
    <row r="3">
      <c r="A3" s="13" t="inlineStr">
        <is>
          <t>Updates automatically from the Transactions sheet.</t>
        </is>
      </c>
    </row>
    <row r="5">
      <c r="B5" s="14" t="inlineStr">
        <is>
          <t>This year</t>
        </is>
      </c>
    </row>
    <row r="6">
      <c r="B6" s="15" t="inlineStr">
        <is>
          <t>Money in</t>
        </is>
      </c>
      <c r="D6" s="15" t="inlineStr">
        <is>
          <t>Money out</t>
        </is>
      </c>
      <c r="F6" s="15" t="inlineStr">
        <is>
          <t>Net result (cash)</t>
        </is>
      </c>
      <c r="H6" s="15" t="inlineStr">
        <is>
          <t>Cash after all entries this year</t>
        </is>
      </c>
    </row>
    <row r="7">
      <c r="B7" s="17">
        <f>'Cash by month'!C17</f>
        <v/>
      </c>
      <c r="D7" s="17">
        <f>'Cash by month'!D17</f>
        <v/>
      </c>
      <c r="F7" s="17">
        <f>'Cash by month'!E17</f>
        <v/>
      </c>
      <c r="H7" s="17">
        <f>'Cash by month'!F17</f>
        <v/>
      </c>
    </row>
    <row r="9">
      <c r="B9" s="14" t="inlineStr">
        <is>
          <t>Watch</t>
        </is>
      </c>
    </row>
    <row r="10">
      <c r="B10" s="15" t="inlineStr">
        <is>
          <t>Average money out per month so far</t>
        </is>
      </c>
      <c r="D10" s="15" t="inlineStr">
        <is>
          <t>Rows with unknown category</t>
        </is>
      </c>
    </row>
    <row r="11">
      <c r="B11" s="17">
        <f>IFERROR('Cash by month'!D17/IF(YEAR(TODAY())=SelYear,MONTH(TODAY()),12),0)</f>
        <v/>
      </c>
      <c r="D11" s="16">
        <f>COUNTIF('Transactions'!$H$2:$H$13,"Check category")</f>
        <v/>
      </c>
    </row>
    <row r="13">
      <c r="B13" s="14" t="inlineStr">
        <is>
          <t>Biggest costs this year</t>
        </is>
      </c>
    </row>
    <row r="14">
      <c r="B14" s="21" t="inlineStr">
        <is>
          <t>Category</t>
        </is>
      </c>
      <c r="C14" s="21" t="inlineStr">
        <is>
          <t>Total €</t>
        </is>
      </c>
    </row>
    <row r="15">
      <c r="B15" s="22">
        <f>IFERROR(INDEX('Categories by month'!$A$5:$A$34,MATCH(LARGE('Categories by month'!$P$5:$P$34,1),'Categories by month'!$P$5:$P$34,0)),"")</f>
        <v/>
      </c>
      <c r="C15" s="24">
        <f>IFERROR(IF(LARGE('Categories by month'!$P$5:$P$34,1)&lt;=0,"",INDEX('Categories by month'!$O$5:$O$34,MATCH(LARGE('Categories by month'!$P$5:$P$34,1),'Categories by month'!$P$5:$P$34,0))),"")</f>
        <v/>
      </c>
    </row>
    <row r="16">
      <c r="B16" s="22">
        <f>IFERROR(INDEX('Categories by month'!$A$5:$A$34,MATCH(LARGE('Categories by month'!$P$5:$P$34,2),'Categories by month'!$P$5:$P$34,0)),"")</f>
        <v/>
      </c>
      <c r="C16" s="24">
        <f>IFERROR(IF(LARGE('Categories by month'!$P$5:$P$34,2)&lt;=0,"",INDEX('Categories by month'!$O$5:$O$34,MATCH(LARGE('Categories by month'!$P$5:$P$34,2),'Categories by month'!$P$5:$P$34,0))),"")</f>
        <v/>
      </c>
    </row>
    <row r="17">
      <c r="B17" s="22">
        <f>IFERROR(INDEX('Categories by month'!$A$5:$A$34,MATCH(LARGE('Categories by month'!$P$5:$P$34,3),'Categories by month'!$P$5:$P$34,0)),"")</f>
        <v/>
      </c>
      <c r="C17" s="24">
        <f>IFERROR(IF(LARGE('Categories by month'!$P$5:$P$34,3)&lt;=0,"",INDEX('Categories by month'!$O$5:$O$34,MATCH(LARGE('Categories by month'!$P$5:$P$34,3),'Categories by month'!$P$5:$P$34,0))),"")</f>
        <v/>
      </c>
    </row>
    <row r="18">
      <c r="B18" s="22">
        <f>IFERROR(INDEX('Categories by month'!$A$5:$A$34,MATCH(LARGE('Categories by month'!$P$5:$P$34,4),'Categories by month'!$P$5:$P$34,0)),"")</f>
        <v/>
      </c>
      <c r="C18" s="24">
        <f>IFERROR(IF(LARGE('Categories by month'!$P$5:$P$34,4)&lt;=0,"",INDEX('Categories by month'!$O$5:$O$34,MATCH(LARGE('Categories by month'!$P$5:$P$34,4),'Categories by month'!$P$5:$P$34,0))),"")</f>
        <v/>
      </c>
    </row>
    <row r="19">
      <c r="B19" s="22">
        <f>IFERROR(INDEX('Categories by month'!$A$5:$A$34,MATCH(LARGE('Categories by month'!$P$5:$P$34,5),'Categories by month'!$P$5:$P$34,0)),"")</f>
        <v/>
      </c>
      <c r="C19" s="24">
        <f>IFERROR(IF(LARGE('Categories by month'!$P$5:$P$34,5)&lt;=0,"",INDEX('Categories by month'!$O$5:$O$34,MATCH(LARGE('Categories by month'!$P$5:$P$34,5),'Categories by month'!$P$5:$P$34,0))),"")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Jobs dashboard</t>
        </is>
      </c>
    </row>
    <row r="2">
      <c r="A2" s="3">
        <f>BizName&amp;" · Year "&amp;SelYear</f>
        <v/>
      </c>
    </row>
    <row r="3">
      <c r="A3" s="13" t="inlineStr">
        <is>
          <t>Updates automatically from the Jobs and Timesheet sheets.</t>
        </is>
      </c>
    </row>
    <row r="5">
      <c r="B5" s="14" t="inlineStr">
        <is>
          <t>Today</t>
        </is>
      </c>
    </row>
    <row r="6">
      <c r="B6" s="15" t="inlineStr">
        <is>
          <t>Active jobs</t>
        </is>
      </c>
      <c r="D6" s="15" t="inlineStr">
        <is>
          <t>Jobs overdue</t>
        </is>
      </c>
      <c r="F6" s="15" t="inlineStr">
        <is>
          <t>Due in the next 7 days</t>
        </is>
      </c>
      <c r="H6" s="15" t="inlineStr">
        <is>
          <t>Value of active jobs</t>
        </is>
      </c>
    </row>
    <row r="7">
      <c r="B7" s="16">
        <f>COUNTIF('Jobs'!$G$2:$G$13,"Planned")+COUNTIF('Jobs'!$G$2:$G$13,"In progress")+COUNTIF('Jobs'!$G$2:$G$13,"On hold")</f>
        <v/>
      </c>
      <c r="D7" s="16">
        <f>COUNTIF('Jobs'!$Q$2:$Q$13,"Overdue")</f>
        <v/>
      </c>
      <c r="F7" s="16">
        <f>COUNTIF('Jobs'!$Q$2:$Q$13,"Due in 7 days")</f>
        <v/>
      </c>
      <c r="H7" s="17">
        <f>SUMIFS('Jobs'!$H$2:$H$13,'Jobs'!$G$2:$G$13,"Planned")+SUMIFS('Jobs'!$H$2:$H$13,'Jobs'!$G$2:$G$13,"In progress")+SUMIFS('Jobs'!$H$2:$H$13,'Jobs'!$G$2:$G$13,"On hold")</f>
        <v/>
      </c>
    </row>
    <row r="9">
      <c r="B9" s="14" t="inlineStr">
        <is>
          <t>Completed jobs (all time)</t>
        </is>
      </c>
    </row>
    <row r="10">
      <c r="B10" s="15" t="inlineStr">
        <is>
          <t>Revenue</t>
        </is>
      </c>
      <c r="D10" s="15" t="inlineStr">
        <is>
          <t>Profit</t>
        </is>
      </c>
      <c r="F10" s="15" t="inlineStr">
        <is>
          <t>Average margin</t>
        </is>
      </c>
      <c r="H10" s="15" t="inlineStr">
        <is>
          <t>Hours logged this year</t>
        </is>
      </c>
    </row>
    <row r="11">
      <c r="B11" s="17">
        <f>SUMIFS('Jobs'!$H$2:$H$13,'Jobs'!$G$2:$G$13,"Complete")</f>
        <v/>
      </c>
      <c r="D11" s="17">
        <f>SUMIFS('Jobs'!$N$2:$N$13,'Jobs'!$G$2:$G$13,"Complete")</f>
        <v/>
      </c>
      <c r="F11" s="18">
        <f>IFERROR(SUMIFS('Jobs'!$N$2:$N$13,'Jobs'!$G$2:$G$13,"Complete")/SUMIFS('Jobs'!$H$2:$H$13,'Jobs'!$G$2:$G$13,"Complete"),"")</f>
        <v/>
      </c>
      <c r="H11" s="19">
        <f>SUMIFS('Timesheet'!$D$2:$D$13,'Timesheet'!$A$2:$A$13,"&gt;="&amp;DATE(SelYear,1,1),'Timesheet'!$A$2:$A$13,"&lt;"&amp;DATE(SelYear+1,1,1))</f>
        <v/>
      </c>
    </row>
    <row r="13">
      <c r="B13" s="14" t="inlineStr">
        <is>
          <t>Hours by person this year</t>
        </is>
      </c>
    </row>
    <row r="14">
      <c r="B14" s="21" t="inlineStr">
        <is>
          <t>Person</t>
        </is>
      </c>
      <c r="C14" s="21" t="inlineStr">
        <is>
          <t>Hours</t>
        </is>
      </c>
    </row>
    <row r="15">
      <c r="B15" s="22">
        <f>IF(INDEX(TeamList,1)="","",INDEX(TeamList,1))</f>
        <v/>
      </c>
      <c r="C15" s="25">
        <f>IF(B15="","",SUMIFS('Timesheet'!$D$2:$D$13,'Timesheet'!$C$2:$C$13,B15,'Timesheet'!$A$2:$A$13,"&gt;="&amp;DATE(SelYear,1,1),'Timesheet'!$A$2:$A$13,"&lt;"&amp;DATE(SelYear+1,1,1)))</f>
        <v/>
      </c>
    </row>
    <row r="16">
      <c r="B16" s="22">
        <f>IF(INDEX(TeamList,2)="","",INDEX(TeamList,2))</f>
        <v/>
      </c>
      <c r="C16" s="25">
        <f>IF(B16="","",SUMIFS('Timesheet'!$D$2:$D$13,'Timesheet'!$C$2:$C$13,B16,'Timesheet'!$A$2:$A$13,"&gt;="&amp;DATE(SelYear,1,1),'Timesheet'!$A$2:$A$13,"&lt;"&amp;DATE(SelYear+1,1,1)))</f>
        <v/>
      </c>
    </row>
    <row r="17">
      <c r="B17" s="22">
        <f>IF(INDEX(TeamList,3)="","",INDEX(TeamList,3))</f>
        <v/>
      </c>
      <c r="C17" s="25">
        <f>IF(B17="","",SUMIFS('Timesheet'!$D$2:$D$13,'Timesheet'!$C$2:$C$13,B17,'Timesheet'!$A$2:$A$13,"&gt;="&amp;DATE(SelYear,1,1),'Timesheet'!$A$2:$A$13,"&lt;"&amp;DATE(SelYear+1,1,1)))</f>
        <v/>
      </c>
    </row>
    <row r="18">
      <c r="B18" s="22">
        <f>IF(INDEX(TeamList,4)="","",INDEX(TeamList,4))</f>
        <v/>
      </c>
      <c r="C18" s="25">
        <f>IF(B18="","",SUMIFS('Timesheet'!$D$2:$D$13,'Timesheet'!$C$2:$C$13,B18,'Timesheet'!$A$2:$A$13,"&gt;="&amp;DATE(SelYear,1,1),'Timesheet'!$A$2:$A$13,"&lt;"&amp;DATE(SelYear+1,1,1)))</f>
        <v/>
      </c>
    </row>
    <row r="19">
      <c r="B19" s="22">
        <f>IF(INDEX(TeamList,5)="","",INDEX(TeamList,5))</f>
        <v/>
      </c>
      <c r="C19" s="25">
        <f>IF(B19="","",SUMIFS('Timesheet'!$D$2:$D$13,'Timesheet'!$C$2:$C$13,B19,'Timesheet'!$A$2:$A$13,"&gt;="&amp;DATE(SelYear,1,1),'Timesheet'!$A$2:$A$13,"&lt;"&amp;DATE(SelYear+1,1,1)))</f>
        <v/>
      </c>
    </row>
    <row r="20">
      <c r="B20" s="22">
        <f>IF(INDEX(TeamList,6)="","",INDEX(TeamList,6))</f>
        <v/>
      </c>
      <c r="C20" s="25">
        <f>IF(B20="","",SUMIFS('Timesheet'!$D$2:$D$13,'Timesheet'!$C$2:$C$13,B20,'Timesheet'!$A$2:$A$13,"&gt;="&amp;DATE(SelYear,1,1),'Timesheet'!$A$2:$A$13,"&lt;"&amp;DATE(SelYear+1,1,1)))</f>
        <v/>
      </c>
    </row>
    <row r="21">
      <c r="B21" s="22">
        <f>IF(INDEX(TeamList,7)="","",INDEX(TeamList,7))</f>
        <v/>
      </c>
      <c r="C21" s="25">
        <f>IF(B21="","",SUMIFS('Timesheet'!$D$2:$D$13,'Timesheet'!$C$2:$C$13,B21,'Timesheet'!$A$2:$A$13,"&gt;="&amp;DATE(SelYear,1,1),'Timesheet'!$A$2:$A$13,"&lt;"&amp;DATE(SelYear+1,1,1)))</f>
        <v/>
      </c>
    </row>
    <row r="22">
      <c r="B22" s="22">
        <f>IF(INDEX(TeamList,8)="","",INDEX(TeamList,8))</f>
        <v/>
      </c>
      <c r="C22" s="25">
        <f>IF(B22="","",SUMIFS('Timesheet'!$D$2:$D$13,'Timesheet'!$C$2:$C$13,B22,'Timesheet'!$A$2:$A$13,"&gt;="&amp;DATE(SelYear,1,1),'Timesheet'!$A$2:$A$13,"&lt;"&amp;DATE(SelYear+1,1,1)))</f>
        <v/>
      </c>
    </row>
    <row r="23">
      <c r="B23" s="22">
        <f>IF(INDEX(TeamList,9)="","",INDEX(TeamList,9))</f>
        <v/>
      </c>
      <c r="C23" s="25">
        <f>IF(B23="","",SUMIFS('Timesheet'!$D$2:$D$13,'Timesheet'!$C$2:$C$13,B23,'Timesheet'!$A$2:$A$13,"&gt;="&amp;DATE(SelYear,1,1),'Timesheet'!$A$2:$A$13,"&lt;"&amp;DATE(SelYear+1,1,1)))</f>
        <v/>
      </c>
    </row>
    <row r="24">
      <c r="B24" s="22">
        <f>IF(INDEX(TeamList,10)="","",INDEX(TeamList,10))</f>
        <v/>
      </c>
      <c r="C24" s="25">
        <f>IF(B24="","",SUMIFS('Timesheet'!$D$2:$D$13,'Timesheet'!$C$2:$C$13,B24,'Timesheet'!$A$2:$A$13,"&gt;="&amp;DATE(SelYear,1,1),'Timesheet'!$A$2:$A$13,"&lt;"&amp;DATE(SelYear+1,1,1)))</f>
        <v/>
      </c>
    </row>
    <row r="25">
      <c r="B25" s="22">
        <f>IF(INDEX(TeamList,11)="","",INDEX(TeamList,11))</f>
        <v/>
      </c>
      <c r="C25" s="25">
        <f>IF(B25="","",SUMIFS('Timesheet'!$D$2:$D$13,'Timesheet'!$C$2:$C$13,B25,'Timesheet'!$A$2:$A$13,"&gt;="&amp;DATE(SelYear,1,1),'Timesheet'!$A$2:$A$13,"&lt;"&amp;DATE(SelYear+1,1,1)))</f>
        <v/>
      </c>
    </row>
    <row r="26">
      <c r="B26" s="22">
        <f>IF(INDEX(TeamList,12)="","",INDEX(TeamList,12))</f>
        <v/>
      </c>
      <c r="C26" s="25">
        <f>IF(B26="","",SUMIFS('Timesheet'!$D$2:$D$13,'Timesheet'!$C$2:$C$13,B26,'Timesheet'!$A$2:$A$13,"&gt;="&amp;DATE(SelYear,1,1),'Timesheet'!$A$2:$A$13,"&lt;"&amp;DATE(SelYear+1,1,1)))</f>
        <v/>
      </c>
    </row>
    <row r="28">
      <c r="B28" s="14" t="inlineStr">
        <is>
          <t>By status</t>
        </is>
      </c>
    </row>
    <row r="29">
      <c r="B29" s="21" t="inlineStr">
        <is>
          <t>Status</t>
        </is>
      </c>
      <c r="C29" s="21" t="inlineStr">
        <is>
          <t>Jobs</t>
        </is>
      </c>
      <c r="D29" s="21" t="inlineStr">
        <is>
          <t>Value €</t>
        </is>
      </c>
      <c r="E29" s="21" t="inlineStr">
        <is>
          <t>Profit €</t>
        </is>
      </c>
    </row>
    <row r="30">
      <c r="B30" s="22" t="inlineStr">
        <is>
          <t>Planned</t>
        </is>
      </c>
      <c r="C30" s="23">
        <f>COUNTIF('Jobs'!$G$2:$G$13,"Planned")</f>
        <v/>
      </c>
      <c r="D30" s="24">
        <f>SUMIFS('Jobs'!$H$2:$H$13,'Jobs'!$G$2:$G$13,"Planned")</f>
        <v/>
      </c>
      <c r="E30" s="24">
        <f>SUMIFS('Jobs'!$N$2:$N$13,'Jobs'!$G$2:$G$13,"Planned")</f>
        <v/>
      </c>
    </row>
    <row r="31">
      <c r="B31" s="22" t="inlineStr">
        <is>
          <t>In progress</t>
        </is>
      </c>
      <c r="C31" s="23">
        <f>COUNTIF('Jobs'!$G$2:$G$13,"In progress")</f>
        <v/>
      </c>
      <c r="D31" s="24">
        <f>SUMIFS('Jobs'!$H$2:$H$13,'Jobs'!$G$2:$G$13,"In progress")</f>
        <v/>
      </c>
      <c r="E31" s="24">
        <f>SUMIFS('Jobs'!$N$2:$N$13,'Jobs'!$G$2:$G$13,"In progress")</f>
        <v/>
      </c>
    </row>
    <row r="32">
      <c r="B32" s="22" t="inlineStr">
        <is>
          <t>On hold</t>
        </is>
      </c>
      <c r="C32" s="23">
        <f>COUNTIF('Jobs'!$G$2:$G$13,"On hold")</f>
        <v/>
      </c>
      <c r="D32" s="24">
        <f>SUMIFS('Jobs'!$H$2:$H$13,'Jobs'!$G$2:$G$13,"On hold")</f>
        <v/>
      </c>
      <c r="E32" s="24">
        <f>SUMIFS('Jobs'!$N$2:$N$13,'Jobs'!$G$2:$G$13,"On hold")</f>
        <v/>
      </c>
    </row>
    <row r="33">
      <c r="B33" s="22" t="inlineStr">
        <is>
          <t>Complete</t>
        </is>
      </c>
      <c r="C33" s="23">
        <f>COUNTIF('Jobs'!$G$2:$G$13,"Complete")</f>
        <v/>
      </c>
      <c r="D33" s="24">
        <f>SUMIFS('Jobs'!$H$2:$H$13,'Jobs'!$G$2:$G$13,"Complete")</f>
        <v/>
      </c>
      <c r="E33" s="24">
        <f>SUMIFS('Jobs'!$N$2:$N$13,'Jobs'!$G$2:$G$13,"Complete")</f>
        <v/>
      </c>
    </row>
    <row r="34">
      <c r="B34" s="22" t="inlineStr">
        <is>
          <t>Cancelled</t>
        </is>
      </c>
      <c r="C34" s="23">
        <f>COUNTIF('Jobs'!$G$2:$G$13,"Cancelled")</f>
        <v/>
      </c>
      <c r="D34" s="24">
        <f>SUMIFS('Jobs'!$H$2:$H$13,'Jobs'!$G$2:$G$13,"Cancelled")</f>
        <v/>
      </c>
      <c r="E34" s="24">
        <f>SUMIFS('Jobs'!$N$2:$N$13,'Jobs'!$G$2:$G$13,"Cancelled")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Stock dashboard</t>
        </is>
      </c>
    </row>
    <row r="2">
      <c r="A2" s="3">
        <f>BizName&amp;" · Year "&amp;SelYear</f>
        <v/>
      </c>
    </row>
    <row r="3">
      <c r="A3" s="13" t="inlineStr">
        <is>
          <t>Updates automatically from the Items and Stock movements sheets.</t>
        </is>
      </c>
    </row>
    <row r="5">
      <c r="B5" s="14" t="inlineStr">
        <is>
          <t>Stock today</t>
        </is>
      </c>
    </row>
    <row r="6">
      <c r="B6" s="15" t="inlineStr">
        <is>
          <t>Items tracked</t>
        </is>
      </c>
      <c r="D6" s="15" t="inlineStr">
        <is>
          <t>Stock value</t>
        </is>
      </c>
      <c r="F6" s="15" t="inlineStr">
        <is>
          <t>Items to reorder</t>
        </is>
      </c>
      <c r="H6" s="15" t="inlineStr">
        <is>
          <t>Out of stock</t>
        </is>
      </c>
    </row>
    <row r="7">
      <c r="B7" s="16">
        <f>COUNTA('Items'!$A$2:$A$13)</f>
        <v/>
      </c>
      <c r="D7" s="17">
        <f>SUM('Items'!$O$2:$O$13)</f>
        <v/>
      </c>
      <c r="F7" s="16">
        <f>COUNTIF('Items'!$N$2:$N$13,"Reorder")</f>
        <v/>
      </c>
      <c r="H7" s="16">
        <f>COUNTIF('Items'!$N$2:$N$13,"Out of stock")</f>
        <v/>
      </c>
    </row>
    <row r="9">
      <c r="B9" s="15" t="inlineStr">
        <is>
          <t>Cost of suggested orders</t>
        </is>
      </c>
      <c r="D9" s="15" t="inlineStr">
        <is>
          <t>Movements this month</t>
        </is>
      </c>
    </row>
    <row r="10">
      <c r="B10" s="17">
        <f>SUM('Reorder list'!H5:H104)</f>
        <v/>
      </c>
      <c r="D10" s="16">
        <f>COUNTIFS('Stock movements'!$A$2:$A$13,"&gt;="&amp;DATE(YEAR(TODAY()),MONTH(TODAY()),1),'Stock movements'!$A$2:$A$13,"&lt;"&amp;DATE(YEAR(TODAY()),MONTH(TODAY())+1,1))</f>
        <v/>
      </c>
    </row>
    <row r="12">
      <c r="B12" s="14" t="inlineStr">
        <is>
          <t>Stock value by category</t>
        </is>
      </c>
    </row>
    <row r="13">
      <c r="B13" s="21" t="inlineStr">
        <is>
          <t>Category</t>
        </is>
      </c>
      <c r="C13" s="21" t="inlineStr">
        <is>
          <t>Items</t>
        </is>
      </c>
      <c r="D13" s="21" t="inlineStr">
        <is>
          <t>Value €</t>
        </is>
      </c>
    </row>
    <row r="14">
      <c r="B14" s="22">
        <f>IF(INDEX(ItemCatList,1)="","",INDEX(ItemCatList,1))</f>
        <v/>
      </c>
      <c r="C14" s="23">
        <f>IF(B14="","",COUNTIF('Items'!$C$2:$C$13,B14))</f>
        <v/>
      </c>
      <c r="D14" s="24">
        <f>IF(B14="","",SUMIFS('Items'!$O$2:$O$13,'Items'!$C$2:$C$13,B14))</f>
        <v/>
      </c>
    </row>
    <row r="15">
      <c r="B15" s="22">
        <f>IF(INDEX(ItemCatList,2)="","",INDEX(ItemCatList,2))</f>
        <v/>
      </c>
      <c r="C15" s="23">
        <f>IF(B15="","",COUNTIF('Items'!$C$2:$C$13,B15))</f>
        <v/>
      </c>
      <c r="D15" s="24">
        <f>IF(B15="","",SUMIFS('Items'!$O$2:$O$13,'Items'!$C$2:$C$13,B15))</f>
        <v/>
      </c>
    </row>
    <row r="16">
      <c r="B16" s="22">
        <f>IF(INDEX(ItemCatList,3)="","",INDEX(ItemCatList,3))</f>
        <v/>
      </c>
      <c r="C16" s="23">
        <f>IF(B16="","",COUNTIF('Items'!$C$2:$C$13,B16))</f>
        <v/>
      </c>
      <c r="D16" s="24">
        <f>IF(B16="","",SUMIFS('Items'!$O$2:$O$13,'Items'!$C$2:$C$13,B16))</f>
        <v/>
      </c>
    </row>
    <row r="17">
      <c r="B17" s="22">
        <f>IF(INDEX(ItemCatList,4)="","",INDEX(ItemCatList,4))</f>
        <v/>
      </c>
      <c r="C17" s="23">
        <f>IF(B17="","",COUNTIF('Items'!$C$2:$C$13,B17))</f>
        <v/>
      </c>
      <c r="D17" s="24">
        <f>IF(B17="","",SUMIFS('Items'!$O$2:$O$13,'Items'!$C$2:$C$13,B17))</f>
        <v/>
      </c>
    </row>
    <row r="18">
      <c r="B18" s="22">
        <f>IF(INDEX(ItemCatList,5)="","",INDEX(ItemCatList,5))</f>
        <v/>
      </c>
      <c r="C18" s="23">
        <f>IF(B18="","",COUNTIF('Items'!$C$2:$C$13,B18))</f>
        <v/>
      </c>
      <c r="D18" s="24">
        <f>IF(B18="","",SUMIFS('Items'!$O$2:$O$13,'Items'!$C$2:$C$13,B18))</f>
        <v/>
      </c>
    </row>
    <row r="19">
      <c r="B19" s="22">
        <f>IF(INDEX(ItemCatList,6)="","",INDEX(ItemCatList,6))</f>
        <v/>
      </c>
      <c r="C19" s="23">
        <f>IF(B19="","",COUNTIF('Items'!$C$2:$C$13,B19))</f>
        <v/>
      </c>
      <c r="D19" s="24">
        <f>IF(B19="","",SUMIFS('Items'!$O$2:$O$13,'Items'!$C$2:$C$13,B19))</f>
        <v/>
      </c>
    </row>
    <row r="20">
      <c r="B20" s="22">
        <f>IF(INDEX(ItemCatList,7)="","",INDEX(ItemCatList,7))</f>
        <v/>
      </c>
      <c r="C20" s="23">
        <f>IF(B20="","",COUNTIF('Items'!$C$2:$C$13,B20))</f>
        <v/>
      </c>
      <c r="D20" s="24">
        <f>IF(B20="","",SUMIFS('Items'!$O$2:$O$13,'Items'!$C$2:$C$13,B20))</f>
        <v/>
      </c>
    </row>
    <row r="21">
      <c r="B21" s="22">
        <f>IF(INDEX(ItemCatList,8)="","",INDEX(ItemCatList,8))</f>
        <v/>
      </c>
      <c r="C21" s="23">
        <f>IF(B21="","",COUNTIF('Items'!$C$2:$C$13,B21))</f>
        <v/>
      </c>
      <c r="D21" s="24">
        <f>IF(B21="","",SUMIFS('Items'!$O$2:$O$13,'Items'!$C$2:$C$13,B21))</f>
        <v/>
      </c>
    </row>
    <row r="22">
      <c r="B22" s="22">
        <f>IF(INDEX(ItemCatList,9)="","",INDEX(ItemCatList,9))</f>
        <v/>
      </c>
      <c r="C22" s="23">
        <f>IF(B22="","",COUNTIF('Items'!$C$2:$C$13,B22))</f>
        <v/>
      </c>
      <c r="D22" s="24">
        <f>IF(B22="","",SUMIFS('Items'!$O$2:$O$13,'Items'!$C$2:$C$13,B22))</f>
        <v/>
      </c>
    </row>
    <row r="23">
      <c r="B23" s="22">
        <f>IF(INDEX(ItemCatList,10)="","",INDEX(ItemCatList,10))</f>
        <v/>
      </c>
      <c r="C23" s="23">
        <f>IF(B23="","",COUNTIF('Items'!$C$2:$C$13,B23))</f>
        <v/>
      </c>
      <c r="D23" s="24">
        <f>IF(B23="","",SUMIFS('Items'!$O$2:$O$13,'Items'!$C$2:$C$13,B23))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Team dashboard</t>
        </is>
      </c>
    </row>
    <row r="2">
      <c r="A2" s="3">
        <f>BizName&amp;" · Year "&amp;SelYear</f>
        <v/>
      </c>
    </row>
    <row r="3">
      <c r="A3" s="13" t="inlineStr">
        <is>
          <t>Updates automatically from Shifts and Absences.</t>
        </is>
      </c>
    </row>
    <row r="5">
      <c r="B5" s="14" t="inlineStr">
        <is>
          <t>Now</t>
        </is>
      </c>
    </row>
    <row r="6">
      <c r="B6" s="15" t="inlineStr">
        <is>
          <t>Team members</t>
        </is>
      </c>
      <c r="D6" s="15" t="inlineStr">
        <is>
          <t>Off today (approved)</t>
        </is>
      </c>
      <c r="F6" s="15" t="inlineStr">
        <is>
          <t>Absence requests waiting</t>
        </is>
      </c>
      <c r="H6" s="15" t="inlineStr">
        <is>
          <t>Next public holiday</t>
        </is>
      </c>
    </row>
    <row r="7">
      <c r="B7" s="16">
        <f>COUNTA(TeamList)</f>
        <v/>
      </c>
      <c r="D7" s="16">
        <f>COUNTIFS('Absences'!$C$2:$C$13,"&lt;="&amp;TODAY(),'Absences'!$D$2:$D$13,"&gt;="&amp;TODAY(),'Absences'!$F$2:$F$13,"Yes")</f>
        <v/>
      </c>
      <c r="F7" s="16">
        <f>SUMPRODUCT(('Absences'!$A$2:$A$13&lt;&gt;"")*('Absences'!$F$2:$F$13&lt;&gt;"Yes"))</f>
        <v/>
      </c>
      <c r="H7" s="20">
        <f>IFERROR(SMALL(PublicHolidays,COUNTIF(PublicHolidays,"&lt;="&amp;TODAY())+1),"")</f>
        <v/>
      </c>
    </row>
    <row r="9">
      <c r="B9" s="14" t="inlineStr">
        <is>
          <t>Hours and holidays</t>
        </is>
      </c>
    </row>
    <row r="10">
      <c r="B10" s="15" t="inlineStr">
        <is>
          <t>Hours in rota week</t>
        </is>
      </c>
      <c r="D10" s="15" t="inlineStr">
        <is>
          <t>Hours worked this year</t>
        </is>
      </c>
      <c r="F10" s="15" t="inlineStr">
        <is>
          <t>Holiday days left (team)</t>
        </is>
      </c>
      <c r="H10" s="15" t="inlineStr">
        <is>
          <t>Sick days this year</t>
        </is>
      </c>
    </row>
    <row r="11">
      <c r="B11" s="19">
        <f>SUM('Team summary'!J5:J34)</f>
        <v/>
      </c>
      <c r="D11" s="19">
        <f>SUM('Team summary'!I5:I34)</f>
        <v/>
      </c>
      <c r="F11" s="19">
        <f>SUM('Team summary'!F5:F34)</f>
        <v/>
      </c>
      <c r="H11" s="19">
        <f>SUM('Team summary'!G5:G34)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18" customWidth="1" min="3" max="3"/>
    <col width="22" customWidth="1" min="4" max="4"/>
    <col width="13" customWidth="1" min="5" max="5"/>
    <col width="24" customWidth="1" min="6" max="6"/>
    <col width="14" customWidth="1" min="7" max="7"/>
    <col width="13" customWidth="1" min="8" max="8"/>
    <col width="13" customWidth="1" min="9" max="9"/>
    <col width="14" customWidth="1" min="10" max="10"/>
    <col width="16" customWidth="1" min="11" max="11"/>
    <col width="28" customWidth="1" min="12" max="12"/>
    <col width="10" customWidth="1" min="13" max="13"/>
    <col width="14" customWidth="1" min="14" max="14"/>
  </cols>
  <sheetData>
    <row r="1" ht="32" customHeight="1">
      <c r="A1" s="21" t="inlineStr">
        <is>
          <t>Date received</t>
        </is>
      </c>
      <c r="B1" s="21" t="inlineStr">
        <is>
          <t>Customer</t>
        </is>
      </c>
      <c r="C1" s="21" t="inlineStr">
        <is>
          <t>Contact person</t>
        </is>
      </c>
      <c r="D1" s="21" t="inlineStr">
        <is>
          <t>Phone or email</t>
        </is>
      </c>
      <c r="E1" s="21" t="inlineStr">
        <is>
          <t>Source</t>
        </is>
      </c>
      <c r="F1" s="21" t="inlineStr">
        <is>
          <t>Product or service</t>
        </is>
      </c>
      <c r="G1" s="21" t="inlineStr">
        <is>
          <t>Quote value €</t>
        </is>
      </c>
      <c r="H1" s="21" t="inlineStr">
        <is>
          <t>Stage</t>
        </is>
      </c>
      <c r="I1" s="21" t="inlineStr">
        <is>
          <t>Quote sent</t>
        </is>
      </c>
      <c r="J1" s="21" t="inlineStr">
        <is>
          <t>Next follow-up</t>
        </is>
      </c>
      <c r="K1" s="21" t="inlineStr">
        <is>
          <t>Closed date (won or lost)</t>
        </is>
      </c>
      <c r="L1" s="21" t="inlineStr">
        <is>
          <t>Notes</t>
        </is>
      </c>
      <c r="M1" s="21" t="inlineStr">
        <is>
          <t>Days open</t>
        </is>
      </c>
      <c r="N1" s="21" t="inlineStr">
        <is>
          <t>Follow-up status</t>
        </is>
      </c>
    </row>
    <row r="2">
      <c r="A2" s="26" t="n">
        <v>46392</v>
      </c>
      <c r="B2" s="27" t="inlineStr">
        <is>
          <t>Café Aurora</t>
        </is>
      </c>
      <c r="C2" s="27" t="inlineStr">
        <is>
          <t>Rita Sousa</t>
        </is>
      </c>
      <c r="D2" s="27" t="inlineStr">
        <is>
          <t>rita@example.pt</t>
        </is>
      </c>
      <c r="E2" s="27" t="inlineStr">
        <is>
          <t>Website</t>
        </is>
      </c>
      <c r="F2" s="27" t="inlineStr">
        <is>
          <t>Shop fit-out</t>
        </is>
      </c>
      <c r="G2" s="28" t="n">
        <v>2400</v>
      </c>
      <c r="H2" s="27" t="inlineStr">
        <is>
          <t>Won</t>
        </is>
      </c>
      <c r="I2" s="26" t="n">
        <v>46394</v>
      </c>
      <c r="J2" s="26" t="n"/>
      <c r="K2" s="26" t="n">
        <v>46407</v>
      </c>
      <c r="L2" s="27" t="n"/>
      <c r="M2" s="29">
        <f>IF(A2="","",MAX(0,IF(K2&lt;&gt;"",K2,TODAY())-A2))</f>
        <v/>
      </c>
      <c r="N2" s="30">
        <f>IF(OR(A2="",J2="",H2="Won",H2="Lost"),"",IF(J2&lt;TODAY(),"Overdue",IF(J2=TODAY(),"Today","Upcoming")))</f>
        <v/>
      </c>
    </row>
    <row r="3">
      <c r="A3" s="26" t="n">
        <v>46399</v>
      </c>
      <c r="B3" s="27" t="inlineStr">
        <is>
          <t>Studio Nove</t>
        </is>
      </c>
      <c r="C3" s="27" t="inlineStr">
        <is>
          <t>Pedro Alves</t>
        </is>
      </c>
      <c r="D3" s="27" t="inlineStr">
        <is>
          <t>912 000 001</t>
        </is>
      </c>
      <c r="E3" s="27" t="inlineStr">
        <is>
          <t>Referral</t>
        </is>
      </c>
      <c r="F3" s="27" t="inlineStr">
        <is>
          <t>Maintenance contract</t>
        </is>
      </c>
      <c r="G3" s="28" t="n">
        <v>1200</v>
      </c>
      <c r="H3" s="27" t="inlineStr">
        <is>
          <t>Won</t>
        </is>
      </c>
      <c r="I3" s="26" t="n">
        <v>46400</v>
      </c>
      <c r="J3" s="26" t="n"/>
      <c r="K3" s="26" t="n">
        <v>46420</v>
      </c>
      <c r="L3" s="27" t="n"/>
      <c r="M3" s="29">
        <f>IF(A3="","",MAX(0,IF(K3&lt;&gt;"",K3,TODAY())-A3))</f>
        <v/>
      </c>
      <c r="N3" s="30">
        <f>IF(OR(A3="",J3="",H3="Won",H3="Lost"),"",IF(J3&lt;TODAY(),"Overdue",IF(J3=TODAY(),"Today","Upcoming")))</f>
        <v/>
      </c>
    </row>
    <row r="4">
      <c r="A4" s="26" t="n">
        <v>46412</v>
      </c>
      <c r="B4" s="27" t="inlineStr">
        <is>
          <t>Rua do Sol Lda</t>
        </is>
      </c>
      <c r="C4" s="27" t="inlineStr">
        <is>
          <t>Ana Costa</t>
        </is>
      </c>
      <c r="D4" s="27" t="inlineStr">
        <is>
          <t>ana@example.pt</t>
        </is>
      </c>
      <c r="E4" s="27" t="inlineStr">
        <is>
          <t>Instagram</t>
        </is>
      </c>
      <c r="F4" s="27" t="inlineStr">
        <is>
          <t>Kitchen renovation</t>
        </is>
      </c>
      <c r="G4" s="28" t="n">
        <v>980</v>
      </c>
      <c r="H4" s="27" t="inlineStr">
        <is>
          <t>Lost</t>
        </is>
      </c>
      <c r="I4" s="26" t="n">
        <v>46414</v>
      </c>
      <c r="J4" s="26" t="n"/>
      <c r="K4" s="26" t="n">
        <v>46428</v>
      </c>
      <c r="L4" s="27" t="n"/>
      <c r="M4" s="29">
        <f>IF(A4="","",MAX(0,IF(K4&lt;&gt;"",K4,TODAY())-A4))</f>
        <v/>
      </c>
      <c r="N4" s="30">
        <f>IF(OR(A4="",J4="",H4="Won",H4="Lost"),"",IF(J4&lt;TODAY(),"Overdue",IF(J4=TODAY(),"Today","Upcoming")))</f>
        <v/>
      </c>
    </row>
    <row r="5">
      <c r="A5" s="26" t="n">
        <v>46421</v>
      </c>
      <c r="B5" s="27" t="inlineStr">
        <is>
          <t>Casa Lima</t>
        </is>
      </c>
      <c r="C5" s="27" t="inlineStr">
        <is>
          <t>João Lima</t>
        </is>
      </c>
      <c r="D5" s="27" t="inlineStr">
        <is>
          <t>913 000 002</t>
        </is>
      </c>
      <c r="E5" s="27" t="inlineStr">
        <is>
          <t>Phone</t>
        </is>
      </c>
      <c r="F5" s="27" t="inlineStr">
        <is>
          <t>Office refurbishment</t>
        </is>
      </c>
      <c r="G5" s="28" t="n">
        <v>3600</v>
      </c>
      <c r="H5" s="27" t="inlineStr">
        <is>
          <t>Quoted</t>
        </is>
      </c>
      <c r="I5" s="26" t="n">
        <v>46424</v>
      </c>
      <c r="J5" s="26" t="n">
        <v>46447</v>
      </c>
      <c r="K5" s="26" t="n"/>
      <c r="L5" s="27" t="n"/>
      <c r="M5" s="29">
        <f>IF(A5="","",MAX(0,IF(K5&lt;&gt;"",K5,TODAY())-A5))</f>
        <v/>
      </c>
      <c r="N5" s="30">
        <f>IF(OR(A5="",J5="",H5="Won",H5="Lost"),"",IF(J5&lt;TODAY(),"Overdue",IF(J5=TODAY(),"Today","Upcoming")))</f>
        <v/>
      </c>
    </row>
    <row r="6">
      <c r="A6" s="26" t="n">
        <v>46432</v>
      </c>
      <c r="B6" s="27" t="inlineStr">
        <is>
          <t>Padaria Central</t>
        </is>
      </c>
      <c r="C6" s="27" t="inlineStr">
        <is>
          <t>Marta Reis</t>
        </is>
      </c>
      <c r="D6" s="27" t="inlineStr">
        <is>
          <t>marta@example.pt</t>
        </is>
      </c>
      <c r="E6" s="27" t="inlineStr">
        <is>
          <t>Walk-in</t>
        </is>
      </c>
      <c r="F6" s="27" t="inlineStr">
        <is>
          <t>Display shelving</t>
        </is>
      </c>
      <c r="G6" s="28" t="n">
        <v>750</v>
      </c>
      <c r="H6" s="27" t="inlineStr">
        <is>
          <t>Contacted</t>
        </is>
      </c>
      <c r="I6" s="26" t="n"/>
      <c r="J6" s="26" t="n">
        <v>46438</v>
      </c>
      <c r="K6" s="26" t="n"/>
      <c r="L6" s="27" t="n"/>
      <c r="M6" s="29">
        <f>IF(A6="","",MAX(0,IF(K6&lt;&gt;"",K6,TODAY())-A6))</f>
        <v/>
      </c>
      <c r="N6" s="30">
        <f>IF(OR(A6="",J6="",H6="Won",H6="Lost"),"",IF(J6&lt;TODAY(),"Overdue",IF(J6=TODAY(),"Today","Upcoming")))</f>
        <v/>
      </c>
    </row>
    <row r="7">
      <c r="A7" s="26" t="n">
        <v>46439</v>
      </c>
      <c r="B7" s="27" t="inlineStr">
        <is>
          <t>Hotel Mar Azul</t>
        </is>
      </c>
      <c r="C7" s="27" t="inlineStr">
        <is>
          <t>Luís Pinto</t>
        </is>
      </c>
      <c r="D7" s="27" t="inlineStr">
        <is>
          <t>luis@example.pt</t>
        </is>
      </c>
      <c r="E7" s="27" t="inlineStr">
        <is>
          <t>Website</t>
        </is>
      </c>
      <c r="F7" s="27" t="inlineStr">
        <is>
          <t>Room refresh, 6 rooms</t>
        </is>
      </c>
      <c r="G7" s="28" t="n">
        <v>8400</v>
      </c>
      <c r="H7" s="27" t="inlineStr">
        <is>
          <t>Quoted</t>
        </is>
      </c>
      <c r="I7" s="26" t="n">
        <v>46443</v>
      </c>
      <c r="J7" s="26" t="n">
        <v>46456</v>
      </c>
      <c r="K7" s="26" t="n"/>
      <c r="L7" s="27" t="n"/>
      <c r="M7" s="29">
        <f>IF(A7="","",MAX(0,IF(K7&lt;&gt;"",K7,TODAY())-A7))</f>
        <v/>
      </c>
      <c r="N7" s="30">
        <f>IF(OR(A7="",J7="",H7="Won",H7="Lost"),"",IF(J7&lt;TODAY(),"Overdue",IF(J7=TODAY(),"Today","Upcoming")))</f>
        <v/>
      </c>
    </row>
    <row r="8">
      <c r="A8" s="26" t="n">
        <v>46448</v>
      </c>
      <c r="B8" s="27" t="inlineStr">
        <is>
          <t>Oficina Verde</t>
        </is>
      </c>
      <c r="C8" s="27" t="inlineStr">
        <is>
          <t>Sara Matos</t>
        </is>
      </c>
      <c r="D8" s="27" t="inlineStr">
        <is>
          <t>914 000 003</t>
        </is>
      </c>
      <c r="E8" s="27" t="inlineStr">
        <is>
          <t>Referral</t>
        </is>
      </c>
      <c r="F8" s="27" t="inlineStr">
        <is>
          <t>Workshop storage</t>
        </is>
      </c>
      <c r="G8" s="28" t="n">
        <v>1450</v>
      </c>
      <c r="H8" s="27" t="inlineStr">
        <is>
          <t>Won</t>
        </is>
      </c>
      <c r="I8" s="26" t="n">
        <v>46450</v>
      </c>
      <c r="J8" s="26" t="n"/>
      <c r="K8" s="26" t="n">
        <v>46461</v>
      </c>
      <c r="L8" s="27" t="n"/>
      <c r="M8" s="29">
        <f>IF(A8="","",MAX(0,IF(K8&lt;&gt;"",K8,TODAY())-A8))</f>
        <v/>
      </c>
      <c r="N8" s="30">
        <f>IF(OR(A8="",J8="",H8="Won",H8="Lost"),"",IF(J8&lt;TODAY(),"Overdue",IF(J8=TODAY(),"Today","Upcoming")))</f>
        <v/>
      </c>
    </row>
    <row r="9">
      <c r="A9" s="26" t="n">
        <v>46455</v>
      </c>
      <c r="B9" s="27" t="inlineStr">
        <is>
          <t>Ginásio Forte</t>
        </is>
      </c>
      <c r="C9" s="27" t="inlineStr">
        <is>
          <t>Rui Gomes</t>
        </is>
      </c>
      <c r="D9" s="27" t="inlineStr">
        <is>
          <t>rui@example.pt</t>
        </is>
      </c>
      <c r="E9" s="27" t="inlineStr">
        <is>
          <t>Website</t>
        </is>
      </c>
      <c r="F9" s="27" t="inlineStr">
        <is>
          <t>Reception desk</t>
        </is>
      </c>
      <c r="G9" s="28" t="n">
        <v>2100</v>
      </c>
      <c r="H9" s="27" t="inlineStr">
        <is>
          <t>New</t>
        </is>
      </c>
      <c r="I9" s="26" t="n"/>
      <c r="J9" s="26" t="n">
        <v>46458</v>
      </c>
      <c r="K9" s="26" t="n"/>
      <c r="L9" s="27" t="n"/>
      <c r="M9" s="29">
        <f>IF(A9="","",MAX(0,IF(K9&lt;&gt;"",K9,TODAY())-A9))</f>
        <v/>
      </c>
      <c r="N9" s="30">
        <f>IF(OR(A9="",J9="",H9="Won",H9="Lost"),"",IF(J9&lt;TODAY(),"Overdue",IF(J9=TODAY(),"Today","Upcoming")))</f>
        <v/>
      </c>
    </row>
    <row r="10">
      <c r="A10" s="26" t="n"/>
      <c r="B10" s="27" t="n"/>
      <c r="C10" s="27" t="n"/>
      <c r="D10" s="27" t="n"/>
      <c r="E10" s="27" t="n"/>
      <c r="F10" s="27" t="n"/>
      <c r="G10" s="28" t="n"/>
      <c r="H10" s="27" t="n"/>
      <c r="I10" s="26" t="n"/>
      <c r="J10" s="26" t="n"/>
      <c r="K10" s="26" t="n"/>
      <c r="L10" s="27" t="n"/>
      <c r="M10" s="29">
        <f>IF(A10="","",MAX(0,IF(K10&lt;&gt;"",K10,TODAY())-A10))</f>
        <v/>
      </c>
      <c r="N10" s="30">
        <f>IF(OR(A10="",J10="",H10="Won",H10="Lost"),"",IF(J10&lt;TODAY(),"Overdue",IF(J10=TODAY(),"Today","Upcoming")))</f>
        <v/>
      </c>
    </row>
    <row r="11">
      <c r="A11" s="26" t="n"/>
      <c r="B11" s="27" t="n"/>
      <c r="C11" s="27" t="n"/>
      <c r="D11" s="27" t="n"/>
      <c r="E11" s="27" t="n"/>
      <c r="F11" s="27" t="n"/>
      <c r="G11" s="28" t="n"/>
      <c r="H11" s="27" t="n"/>
      <c r="I11" s="26" t="n"/>
      <c r="J11" s="26" t="n"/>
      <c r="K11" s="26" t="n"/>
      <c r="L11" s="27" t="n"/>
      <c r="M11" s="29">
        <f>IF(A11="","",MAX(0,IF(K11&lt;&gt;"",K11,TODAY())-A11))</f>
        <v/>
      </c>
      <c r="N11" s="30">
        <f>IF(OR(A11="",J11="",H11="Won",H11="Lost"),"",IF(J11&lt;TODAY(),"Overdue",IF(J11=TODAY(),"Today","Upcoming")))</f>
        <v/>
      </c>
    </row>
    <row r="12">
      <c r="A12" s="26" t="n"/>
      <c r="B12" s="27" t="n"/>
      <c r="C12" s="27" t="n"/>
      <c r="D12" s="27" t="n"/>
      <c r="E12" s="27" t="n"/>
      <c r="F12" s="27" t="n"/>
      <c r="G12" s="28" t="n"/>
      <c r="H12" s="27" t="n"/>
      <c r="I12" s="26" t="n"/>
      <c r="J12" s="26" t="n"/>
      <c r="K12" s="26" t="n"/>
      <c r="L12" s="27" t="n"/>
      <c r="M12" s="29">
        <f>IF(A12="","",MAX(0,IF(K12&lt;&gt;"",K12,TODAY())-A12))</f>
        <v/>
      </c>
      <c r="N12" s="30">
        <f>IF(OR(A12="",J12="",H12="Won",H12="Lost"),"",IF(J12&lt;TODAY(),"Overdue",IF(J12=TODAY(),"Today","Upcoming")))</f>
        <v/>
      </c>
    </row>
    <row r="13">
      <c r="A13" s="26" t="n"/>
      <c r="B13" s="27" t="n"/>
      <c r="C13" s="27" t="n"/>
      <c r="D13" s="27" t="n"/>
      <c r="E13" s="27" t="n"/>
      <c r="F13" s="27" t="n"/>
      <c r="G13" s="28" t="n"/>
      <c r="H13" s="27" t="n"/>
      <c r="I13" s="26" t="n"/>
      <c r="J13" s="26" t="n"/>
      <c r="K13" s="26" t="n"/>
      <c r="L13" s="27" t="n"/>
      <c r="M13" s="29">
        <f>IF(A13="","",MAX(0,IF(K13&lt;&gt;"",K13,TODAY())-A13))</f>
        <v/>
      </c>
      <c r="N13" s="30">
        <f>IF(OR(A13="",J13="",H13="Won",H13="Lost"),"",IF(J13&lt;TODAY(),"Overdue",IF(J13=TODAY(),"Today","Upcoming")))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N2:N13">
    <cfRule type="cellIs" priority="1" operator="equal" dxfId="0">
      <formula>"Overdue"</formula>
    </cfRule>
    <cfRule type="cellIs" priority="2" operator="equal" dxfId="1">
      <formula>"Today"</formula>
    </cfRule>
  </conditionalFormatting>
  <conditionalFormatting sqref="H2:H13">
    <cfRule type="cellIs" priority="3" operator="equal" dxfId="2">
      <formula>"Won"</formula>
    </cfRule>
    <cfRule type="cellIs" priority="4" operator="equal" dxfId="3">
      <formula>"Lost"</formula>
    </cfRule>
  </conditionalFormatting>
  <dataValidations count="3">
    <dataValidation sqref="E2:E13" showDropDown="0" showInputMessage="0" showErrorMessage="1" allowBlank="1" errorTitle="Not in the list" error="Choose a value from the list (edit lists in Settings)." type="list">
      <formula1>=SourceList</formula1>
    </dataValidation>
    <dataValidation sqref="G2:G13" showDropDown="0" showInputMessage="0" showErrorMessage="1" allowBlank="1" error="Enter a number." type="decimal" operator="greaterThanOrEqual">
      <formula1>0</formula1>
    </dataValidation>
    <dataValidation sqref="H2:H13" showDropDown="0" showInputMessage="0" showErrorMessage="1" allowBlank="1" errorTitle="Not in the list" error="Choose a value from the list (edit lists in Settings)." type="list">
      <formula1>=StageList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14" customWidth="1" min="4" max="4"/>
    <col width="16" customWidth="1" min="5" max="5"/>
    <col width="14" customWidth="1" min="6" max="6"/>
    <col width="16" customWidth="1" min="7" max="7"/>
    <col width="14" customWidth="1" min="8" max="8"/>
    <col width="13" customWidth="1" min="9" max="9"/>
    <col width="18" customWidth="1" min="10" max="10"/>
  </cols>
  <sheetData>
    <row r="1">
      <c r="A1" s="1" t="inlineStr">
        <is>
          <t>Sales by month</t>
        </is>
      </c>
    </row>
    <row r="2">
      <c r="A2" s="3" t="inlineStr">
        <is>
          <t>Counts and values for each month of the year in Settings. Quotes count in the month they were sent; wins and losses in the month they closed.</t>
        </is>
      </c>
    </row>
    <row r="4" ht="32" customHeight="1">
      <c r="A4" s="21" t="inlineStr">
        <is>
          <t>Month start</t>
        </is>
      </c>
      <c r="B4" s="21" t="inlineStr">
        <is>
          <t>Month</t>
        </is>
      </c>
      <c r="C4" s="21" t="inlineStr">
        <is>
          <t>New enquiries</t>
        </is>
      </c>
      <c r="D4" s="21" t="inlineStr">
        <is>
          <t>Quotes sent</t>
        </is>
      </c>
      <c r="E4" s="21" t="inlineStr">
        <is>
          <t>Value quoted €</t>
        </is>
      </c>
      <c r="F4" s="21" t="inlineStr">
        <is>
          <t>Deals won</t>
        </is>
      </c>
      <c r="G4" s="21" t="inlineStr">
        <is>
          <t>Value won €</t>
        </is>
      </c>
      <c r="H4" s="21" t="inlineStr">
        <is>
          <t>Deals lost</t>
        </is>
      </c>
      <c r="I4" s="21" t="inlineStr">
        <is>
          <t>Win rate</t>
        </is>
      </c>
      <c r="J4" s="21" t="inlineStr">
        <is>
          <t>Average won deal €</t>
        </is>
      </c>
    </row>
    <row r="5">
      <c r="A5" s="31">
        <f>DATE(SelYear,1,1)</f>
        <v/>
      </c>
      <c r="B5" s="32" t="inlineStr">
        <is>
          <t>Jan</t>
        </is>
      </c>
      <c r="C5" s="33">
        <f>COUNTIFS('Pipeline'!$A$2:$A$13,"&gt;="&amp;$A5,'Pipeline'!$A$2:$A$13,"&lt;"&amp;DATE(YEAR($A5),MONTH($A5)+1,1))</f>
        <v/>
      </c>
      <c r="D5" s="33">
        <f>COUNTIFS('Pipeline'!$I$2:$I$13,"&gt;="&amp;$A5,'Pipeline'!$I$2:$I$13,"&lt;"&amp;DATE(YEAR($A5),MONTH($A5)+1,1))</f>
        <v/>
      </c>
      <c r="E5" s="34">
        <f>SUMIFS('Pipeline'!$G$2:$G$13,'Pipeline'!$I$2:$I$13,"&gt;="&amp;$A5,'Pipeline'!$I$2:$I$13,"&lt;"&amp;DATE(YEAR($A5),MONTH($A5)+1,1))</f>
        <v/>
      </c>
      <c r="F5" s="33">
        <f>COUNTIFS('Pipeline'!$H$2:$H$13,"Won",'Pipeline'!$K$2:$K$13,"&gt;="&amp;$A5,'Pipeline'!$K$2:$K$13,"&lt;"&amp;DATE(YEAR($A5),MONTH($A5)+1,1))</f>
        <v/>
      </c>
      <c r="G5" s="34">
        <f>SUMIFS('Pipeline'!$G$2:$G$13,'Pipeline'!$H$2:$H$13,"Won",'Pipeline'!$K$2:$K$13,"&gt;="&amp;$A5,'Pipeline'!$K$2:$K$13,"&lt;"&amp;DATE(YEAR($A5),MONTH($A5)+1,1))</f>
        <v/>
      </c>
      <c r="H5" s="33">
        <f>COUNTIFS('Pipeline'!$H$2:$H$13,"Lost",'Pipeline'!$K$2:$K$13,"&gt;="&amp;$A5,'Pipeline'!$K$2:$K$13,"&lt;"&amp;DATE(YEAR($A5),MONTH($A5)+1,1))</f>
        <v/>
      </c>
      <c r="I5" s="35">
        <f>IF(F5+H5=0,"",F5/(F5+H5))</f>
        <v/>
      </c>
      <c r="J5" s="34">
        <f>IF(F5=0,"",G5/F5)</f>
        <v/>
      </c>
    </row>
    <row r="6">
      <c r="A6" s="31">
        <f>DATE(SelYear,2,1)</f>
        <v/>
      </c>
      <c r="B6" s="32" t="inlineStr">
        <is>
          <t>Feb</t>
        </is>
      </c>
      <c r="C6" s="33">
        <f>COUNTIFS('Pipeline'!$A$2:$A$13,"&gt;="&amp;$A6,'Pipeline'!$A$2:$A$13,"&lt;"&amp;DATE(YEAR($A6),MONTH($A6)+1,1))</f>
        <v/>
      </c>
      <c r="D6" s="33">
        <f>COUNTIFS('Pipeline'!$I$2:$I$13,"&gt;="&amp;$A6,'Pipeline'!$I$2:$I$13,"&lt;"&amp;DATE(YEAR($A6),MONTH($A6)+1,1))</f>
        <v/>
      </c>
      <c r="E6" s="34">
        <f>SUMIFS('Pipeline'!$G$2:$G$13,'Pipeline'!$I$2:$I$13,"&gt;="&amp;$A6,'Pipeline'!$I$2:$I$13,"&lt;"&amp;DATE(YEAR($A6),MONTH($A6)+1,1))</f>
        <v/>
      </c>
      <c r="F6" s="33">
        <f>COUNTIFS('Pipeline'!$H$2:$H$13,"Won",'Pipeline'!$K$2:$K$13,"&gt;="&amp;$A6,'Pipeline'!$K$2:$K$13,"&lt;"&amp;DATE(YEAR($A6),MONTH($A6)+1,1))</f>
        <v/>
      </c>
      <c r="G6" s="34">
        <f>SUMIFS('Pipeline'!$G$2:$G$13,'Pipeline'!$H$2:$H$13,"Won",'Pipeline'!$K$2:$K$13,"&gt;="&amp;$A6,'Pipeline'!$K$2:$K$13,"&lt;"&amp;DATE(YEAR($A6),MONTH($A6)+1,1))</f>
        <v/>
      </c>
      <c r="H6" s="33">
        <f>COUNTIFS('Pipeline'!$H$2:$H$13,"Lost",'Pipeline'!$K$2:$K$13,"&gt;="&amp;$A6,'Pipeline'!$K$2:$K$13,"&lt;"&amp;DATE(YEAR($A6),MONTH($A6)+1,1))</f>
        <v/>
      </c>
      <c r="I6" s="35">
        <f>IF(F6+H6=0,"",F6/(F6+H6))</f>
        <v/>
      </c>
      <c r="J6" s="34">
        <f>IF(F6=0,"",G6/F6)</f>
        <v/>
      </c>
    </row>
    <row r="7">
      <c r="A7" s="31">
        <f>DATE(SelYear,3,1)</f>
        <v/>
      </c>
      <c r="B7" s="32" t="inlineStr">
        <is>
          <t>Mar</t>
        </is>
      </c>
      <c r="C7" s="33">
        <f>COUNTIFS('Pipeline'!$A$2:$A$13,"&gt;="&amp;$A7,'Pipeline'!$A$2:$A$13,"&lt;"&amp;DATE(YEAR($A7),MONTH($A7)+1,1))</f>
        <v/>
      </c>
      <c r="D7" s="33">
        <f>COUNTIFS('Pipeline'!$I$2:$I$13,"&gt;="&amp;$A7,'Pipeline'!$I$2:$I$13,"&lt;"&amp;DATE(YEAR($A7),MONTH($A7)+1,1))</f>
        <v/>
      </c>
      <c r="E7" s="34">
        <f>SUMIFS('Pipeline'!$G$2:$G$13,'Pipeline'!$I$2:$I$13,"&gt;="&amp;$A7,'Pipeline'!$I$2:$I$13,"&lt;"&amp;DATE(YEAR($A7),MONTH($A7)+1,1))</f>
        <v/>
      </c>
      <c r="F7" s="33">
        <f>COUNTIFS('Pipeline'!$H$2:$H$13,"Won",'Pipeline'!$K$2:$K$13,"&gt;="&amp;$A7,'Pipeline'!$K$2:$K$13,"&lt;"&amp;DATE(YEAR($A7),MONTH($A7)+1,1))</f>
        <v/>
      </c>
      <c r="G7" s="34">
        <f>SUMIFS('Pipeline'!$G$2:$G$13,'Pipeline'!$H$2:$H$13,"Won",'Pipeline'!$K$2:$K$13,"&gt;="&amp;$A7,'Pipeline'!$K$2:$K$13,"&lt;"&amp;DATE(YEAR($A7),MONTH($A7)+1,1))</f>
        <v/>
      </c>
      <c r="H7" s="33">
        <f>COUNTIFS('Pipeline'!$H$2:$H$13,"Lost",'Pipeline'!$K$2:$K$13,"&gt;="&amp;$A7,'Pipeline'!$K$2:$K$13,"&lt;"&amp;DATE(YEAR($A7),MONTH($A7)+1,1))</f>
        <v/>
      </c>
      <c r="I7" s="35">
        <f>IF(F7+H7=0,"",F7/(F7+H7))</f>
        <v/>
      </c>
      <c r="J7" s="34">
        <f>IF(F7=0,"",G7/F7)</f>
        <v/>
      </c>
    </row>
    <row r="8">
      <c r="A8" s="31">
        <f>DATE(SelYear,4,1)</f>
        <v/>
      </c>
      <c r="B8" s="32" t="inlineStr">
        <is>
          <t>Apr</t>
        </is>
      </c>
      <c r="C8" s="33">
        <f>COUNTIFS('Pipeline'!$A$2:$A$13,"&gt;="&amp;$A8,'Pipeline'!$A$2:$A$13,"&lt;"&amp;DATE(YEAR($A8),MONTH($A8)+1,1))</f>
        <v/>
      </c>
      <c r="D8" s="33">
        <f>COUNTIFS('Pipeline'!$I$2:$I$13,"&gt;="&amp;$A8,'Pipeline'!$I$2:$I$13,"&lt;"&amp;DATE(YEAR($A8),MONTH($A8)+1,1))</f>
        <v/>
      </c>
      <c r="E8" s="34">
        <f>SUMIFS('Pipeline'!$G$2:$G$13,'Pipeline'!$I$2:$I$13,"&gt;="&amp;$A8,'Pipeline'!$I$2:$I$13,"&lt;"&amp;DATE(YEAR($A8),MONTH($A8)+1,1))</f>
        <v/>
      </c>
      <c r="F8" s="33">
        <f>COUNTIFS('Pipeline'!$H$2:$H$13,"Won",'Pipeline'!$K$2:$K$13,"&gt;="&amp;$A8,'Pipeline'!$K$2:$K$13,"&lt;"&amp;DATE(YEAR($A8),MONTH($A8)+1,1))</f>
        <v/>
      </c>
      <c r="G8" s="34">
        <f>SUMIFS('Pipeline'!$G$2:$G$13,'Pipeline'!$H$2:$H$13,"Won",'Pipeline'!$K$2:$K$13,"&gt;="&amp;$A8,'Pipeline'!$K$2:$K$13,"&lt;"&amp;DATE(YEAR($A8),MONTH($A8)+1,1))</f>
        <v/>
      </c>
      <c r="H8" s="33">
        <f>COUNTIFS('Pipeline'!$H$2:$H$13,"Lost",'Pipeline'!$K$2:$K$13,"&gt;="&amp;$A8,'Pipeline'!$K$2:$K$13,"&lt;"&amp;DATE(YEAR($A8),MONTH($A8)+1,1))</f>
        <v/>
      </c>
      <c r="I8" s="35">
        <f>IF(F8+H8=0,"",F8/(F8+H8))</f>
        <v/>
      </c>
      <c r="J8" s="34">
        <f>IF(F8=0,"",G8/F8)</f>
        <v/>
      </c>
    </row>
    <row r="9">
      <c r="A9" s="31">
        <f>DATE(SelYear,5,1)</f>
        <v/>
      </c>
      <c r="B9" s="32" t="inlineStr">
        <is>
          <t>May</t>
        </is>
      </c>
      <c r="C9" s="33">
        <f>COUNTIFS('Pipeline'!$A$2:$A$13,"&gt;="&amp;$A9,'Pipeline'!$A$2:$A$13,"&lt;"&amp;DATE(YEAR($A9),MONTH($A9)+1,1))</f>
        <v/>
      </c>
      <c r="D9" s="33">
        <f>COUNTIFS('Pipeline'!$I$2:$I$13,"&gt;="&amp;$A9,'Pipeline'!$I$2:$I$13,"&lt;"&amp;DATE(YEAR($A9),MONTH($A9)+1,1))</f>
        <v/>
      </c>
      <c r="E9" s="34">
        <f>SUMIFS('Pipeline'!$G$2:$G$13,'Pipeline'!$I$2:$I$13,"&gt;="&amp;$A9,'Pipeline'!$I$2:$I$13,"&lt;"&amp;DATE(YEAR($A9),MONTH($A9)+1,1))</f>
        <v/>
      </c>
      <c r="F9" s="33">
        <f>COUNTIFS('Pipeline'!$H$2:$H$13,"Won",'Pipeline'!$K$2:$K$13,"&gt;="&amp;$A9,'Pipeline'!$K$2:$K$13,"&lt;"&amp;DATE(YEAR($A9),MONTH($A9)+1,1))</f>
        <v/>
      </c>
      <c r="G9" s="34">
        <f>SUMIFS('Pipeline'!$G$2:$G$13,'Pipeline'!$H$2:$H$13,"Won",'Pipeline'!$K$2:$K$13,"&gt;="&amp;$A9,'Pipeline'!$K$2:$K$13,"&lt;"&amp;DATE(YEAR($A9),MONTH($A9)+1,1))</f>
        <v/>
      </c>
      <c r="H9" s="33">
        <f>COUNTIFS('Pipeline'!$H$2:$H$13,"Lost",'Pipeline'!$K$2:$K$13,"&gt;="&amp;$A9,'Pipeline'!$K$2:$K$13,"&lt;"&amp;DATE(YEAR($A9),MONTH($A9)+1,1))</f>
        <v/>
      </c>
      <c r="I9" s="35">
        <f>IF(F9+H9=0,"",F9/(F9+H9))</f>
        <v/>
      </c>
      <c r="J9" s="34">
        <f>IF(F9=0,"",G9/F9)</f>
        <v/>
      </c>
    </row>
    <row r="10">
      <c r="A10" s="31">
        <f>DATE(SelYear,6,1)</f>
        <v/>
      </c>
      <c r="B10" s="32" t="inlineStr">
        <is>
          <t>Jun</t>
        </is>
      </c>
      <c r="C10" s="33">
        <f>COUNTIFS('Pipeline'!$A$2:$A$13,"&gt;="&amp;$A10,'Pipeline'!$A$2:$A$13,"&lt;"&amp;DATE(YEAR($A10),MONTH($A10)+1,1))</f>
        <v/>
      </c>
      <c r="D10" s="33">
        <f>COUNTIFS('Pipeline'!$I$2:$I$13,"&gt;="&amp;$A10,'Pipeline'!$I$2:$I$13,"&lt;"&amp;DATE(YEAR($A10),MONTH($A10)+1,1))</f>
        <v/>
      </c>
      <c r="E10" s="34">
        <f>SUMIFS('Pipeline'!$G$2:$G$13,'Pipeline'!$I$2:$I$13,"&gt;="&amp;$A10,'Pipeline'!$I$2:$I$13,"&lt;"&amp;DATE(YEAR($A10),MONTH($A10)+1,1))</f>
        <v/>
      </c>
      <c r="F10" s="33">
        <f>COUNTIFS('Pipeline'!$H$2:$H$13,"Won",'Pipeline'!$K$2:$K$13,"&gt;="&amp;$A10,'Pipeline'!$K$2:$K$13,"&lt;"&amp;DATE(YEAR($A10),MONTH($A10)+1,1))</f>
        <v/>
      </c>
      <c r="G10" s="34">
        <f>SUMIFS('Pipeline'!$G$2:$G$13,'Pipeline'!$H$2:$H$13,"Won",'Pipeline'!$K$2:$K$13,"&gt;="&amp;$A10,'Pipeline'!$K$2:$K$13,"&lt;"&amp;DATE(YEAR($A10),MONTH($A10)+1,1))</f>
        <v/>
      </c>
      <c r="H10" s="33">
        <f>COUNTIFS('Pipeline'!$H$2:$H$13,"Lost",'Pipeline'!$K$2:$K$13,"&gt;="&amp;$A10,'Pipeline'!$K$2:$K$13,"&lt;"&amp;DATE(YEAR($A10),MONTH($A10)+1,1))</f>
        <v/>
      </c>
      <c r="I10" s="35">
        <f>IF(F10+H10=0,"",F10/(F10+H10))</f>
        <v/>
      </c>
      <c r="J10" s="34">
        <f>IF(F10=0,"",G10/F10)</f>
        <v/>
      </c>
    </row>
    <row r="11">
      <c r="A11" s="31">
        <f>DATE(SelYear,7,1)</f>
        <v/>
      </c>
      <c r="B11" s="32" t="inlineStr">
        <is>
          <t>Jul</t>
        </is>
      </c>
      <c r="C11" s="33">
        <f>COUNTIFS('Pipeline'!$A$2:$A$13,"&gt;="&amp;$A11,'Pipeline'!$A$2:$A$13,"&lt;"&amp;DATE(YEAR($A11),MONTH($A11)+1,1))</f>
        <v/>
      </c>
      <c r="D11" s="33">
        <f>COUNTIFS('Pipeline'!$I$2:$I$13,"&gt;="&amp;$A11,'Pipeline'!$I$2:$I$13,"&lt;"&amp;DATE(YEAR($A11),MONTH($A11)+1,1))</f>
        <v/>
      </c>
      <c r="E11" s="34">
        <f>SUMIFS('Pipeline'!$G$2:$G$13,'Pipeline'!$I$2:$I$13,"&gt;="&amp;$A11,'Pipeline'!$I$2:$I$13,"&lt;"&amp;DATE(YEAR($A11),MONTH($A11)+1,1))</f>
        <v/>
      </c>
      <c r="F11" s="33">
        <f>COUNTIFS('Pipeline'!$H$2:$H$13,"Won",'Pipeline'!$K$2:$K$13,"&gt;="&amp;$A11,'Pipeline'!$K$2:$K$13,"&lt;"&amp;DATE(YEAR($A11),MONTH($A11)+1,1))</f>
        <v/>
      </c>
      <c r="G11" s="34">
        <f>SUMIFS('Pipeline'!$G$2:$G$13,'Pipeline'!$H$2:$H$13,"Won",'Pipeline'!$K$2:$K$13,"&gt;="&amp;$A11,'Pipeline'!$K$2:$K$13,"&lt;"&amp;DATE(YEAR($A11),MONTH($A11)+1,1))</f>
        <v/>
      </c>
      <c r="H11" s="33">
        <f>COUNTIFS('Pipeline'!$H$2:$H$13,"Lost",'Pipeline'!$K$2:$K$13,"&gt;="&amp;$A11,'Pipeline'!$K$2:$K$13,"&lt;"&amp;DATE(YEAR($A11),MONTH($A11)+1,1))</f>
        <v/>
      </c>
      <c r="I11" s="35">
        <f>IF(F11+H11=0,"",F11/(F11+H11))</f>
        <v/>
      </c>
      <c r="J11" s="34">
        <f>IF(F11=0,"",G11/F11)</f>
        <v/>
      </c>
    </row>
    <row r="12">
      <c r="A12" s="31">
        <f>DATE(SelYear,8,1)</f>
        <v/>
      </c>
      <c r="B12" s="32" t="inlineStr">
        <is>
          <t>Aug</t>
        </is>
      </c>
      <c r="C12" s="33">
        <f>COUNTIFS('Pipeline'!$A$2:$A$13,"&gt;="&amp;$A12,'Pipeline'!$A$2:$A$13,"&lt;"&amp;DATE(YEAR($A12),MONTH($A12)+1,1))</f>
        <v/>
      </c>
      <c r="D12" s="33">
        <f>COUNTIFS('Pipeline'!$I$2:$I$13,"&gt;="&amp;$A12,'Pipeline'!$I$2:$I$13,"&lt;"&amp;DATE(YEAR($A12),MONTH($A12)+1,1))</f>
        <v/>
      </c>
      <c r="E12" s="34">
        <f>SUMIFS('Pipeline'!$G$2:$G$13,'Pipeline'!$I$2:$I$13,"&gt;="&amp;$A12,'Pipeline'!$I$2:$I$13,"&lt;"&amp;DATE(YEAR($A12),MONTH($A12)+1,1))</f>
        <v/>
      </c>
      <c r="F12" s="33">
        <f>COUNTIFS('Pipeline'!$H$2:$H$13,"Won",'Pipeline'!$K$2:$K$13,"&gt;="&amp;$A12,'Pipeline'!$K$2:$K$13,"&lt;"&amp;DATE(YEAR($A12),MONTH($A12)+1,1))</f>
        <v/>
      </c>
      <c r="G12" s="34">
        <f>SUMIFS('Pipeline'!$G$2:$G$13,'Pipeline'!$H$2:$H$13,"Won",'Pipeline'!$K$2:$K$13,"&gt;="&amp;$A12,'Pipeline'!$K$2:$K$13,"&lt;"&amp;DATE(YEAR($A12),MONTH($A12)+1,1))</f>
        <v/>
      </c>
      <c r="H12" s="33">
        <f>COUNTIFS('Pipeline'!$H$2:$H$13,"Lost",'Pipeline'!$K$2:$K$13,"&gt;="&amp;$A12,'Pipeline'!$K$2:$K$13,"&lt;"&amp;DATE(YEAR($A12),MONTH($A12)+1,1))</f>
        <v/>
      </c>
      <c r="I12" s="35">
        <f>IF(F12+H12=0,"",F12/(F12+H12))</f>
        <v/>
      </c>
      <c r="J12" s="34">
        <f>IF(F12=0,"",G12/F12)</f>
        <v/>
      </c>
    </row>
    <row r="13">
      <c r="A13" s="31">
        <f>DATE(SelYear,9,1)</f>
        <v/>
      </c>
      <c r="B13" s="32" t="inlineStr">
        <is>
          <t>Sep</t>
        </is>
      </c>
      <c r="C13" s="33">
        <f>COUNTIFS('Pipeline'!$A$2:$A$13,"&gt;="&amp;$A13,'Pipeline'!$A$2:$A$13,"&lt;"&amp;DATE(YEAR($A13),MONTH($A13)+1,1))</f>
        <v/>
      </c>
      <c r="D13" s="33">
        <f>COUNTIFS('Pipeline'!$I$2:$I$13,"&gt;="&amp;$A13,'Pipeline'!$I$2:$I$13,"&lt;"&amp;DATE(YEAR($A13),MONTH($A13)+1,1))</f>
        <v/>
      </c>
      <c r="E13" s="34">
        <f>SUMIFS('Pipeline'!$G$2:$G$13,'Pipeline'!$I$2:$I$13,"&gt;="&amp;$A13,'Pipeline'!$I$2:$I$13,"&lt;"&amp;DATE(YEAR($A13),MONTH($A13)+1,1))</f>
        <v/>
      </c>
      <c r="F13" s="33">
        <f>COUNTIFS('Pipeline'!$H$2:$H$13,"Won",'Pipeline'!$K$2:$K$13,"&gt;="&amp;$A13,'Pipeline'!$K$2:$K$13,"&lt;"&amp;DATE(YEAR($A13),MONTH($A13)+1,1))</f>
        <v/>
      </c>
      <c r="G13" s="34">
        <f>SUMIFS('Pipeline'!$G$2:$G$13,'Pipeline'!$H$2:$H$13,"Won",'Pipeline'!$K$2:$K$13,"&gt;="&amp;$A13,'Pipeline'!$K$2:$K$13,"&lt;"&amp;DATE(YEAR($A13),MONTH($A13)+1,1))</f>
        <v/>
      </c>
      <c r="H13" s="33">
        <f>COUNTIFS('Pipeline'!$H$2:$H$13,"Lost",'Pipeline'!$K$2:$K$13,"&gt;="&amp;$A13,'Pipeline'!$K$2:$K$13,"&lt;"&amp;DATE(YEAR($A13),MONTH($A13)+1,1))</f>
        <v/>
      </c>
      <c r="I13" s="35">
        <f>IF(F13+H13=0,"",F13/(F13+H13))</f>
        <v/>
      </c>
      <c r="J13" s="34">
        <f>IF(F13=0,"",G13/F13)</f>
        <v/>
      </c>
    </row>
    <row r="14">
      <c r="A14" s="31">
        <f>DATE(SelYear,10,1)</f>
        <v/>
      </c>
      <c r="B14" s="32" t="inlineStr">
        <is>
          <t>Oct</t>
        </is>
      </c>
      <c r="C14" s="33">
        <f>COUNTIFS('Pipeline'!$A$2:$A$13,"&gt;="&amp;$A14,'Pipeline'!$A$2:$A$13,"&lt;"&amp;DATE(YEAR($A14),MONTH($A14)+1,1))</f>
        <v/>
      </c>
      <c r="D14" s="33">
        <f>COUNTIFS('Pipeline'!$I$2:$I$13,"&gt;="&amp;$A14,'Pipeline'!$I$2:$I$13,"&lt;"&amp;DATE(YEAR($A14),MONTH($A14)+1,1))</f>
        <v/>
      </c>
      <c r="E14" s="34">
        <f>SUMIFS('Pipeline'!$G$2:$G$13,'Pipeline'!$I$2:$I$13,"&gt;="&amp;$A14,'Pipeline'!$I$2:$I$13,"&lt;"&amp;DATE(YEAR($A14),MONTH($A14)+1,1))</f>
        <v/>
      </c>
      <c r="F14" s="33">
        <f>COUNTIFS('Pipeline'!$H$2:$H$13,"Won",'Pipeline'!$K$2:$K$13,"&gt;="&amp;$A14,'Pipeline'!$K$2:$K$13,"&lt;"&amp;DATE(YEAR($A14),MONTH($A14)+1,1))</f>
        <v/>
      </c>
      <c r="G14" s="34">
        <f>SUMIFS('Pipeline'!$G$2:$G$13,'Pipeline'!$H$2:$H$13,"Won",'Pipeline'!$K$2:$K$13,"&gt;="&amp;$A14,'Pipeline'!$K$2:$K$13,"&lt;"&amp;DATE(YEAR($A14),MONTH($A14)+1,1))</f>
        <v/>
      </c>
      <c r="H14" s="33">
        <f>COUNTIFS('Pipeline'!$H$2:$H$13,"Lost",'Pipeline'!$K$2:$K$13,"&gt;="&amp;$A14,'Pipeline'!$K$2:$K$13,"&lt;"&amp;DATE(YEAR($A14),MONTH($A14)+1,1))</f>
        <v/>
      </c>
      <c r="I14" s="35">
        <f>IF(F14+H14=0,"",F14/(F14+H14))</f>
        <v/>
      </c>
      <c r="J14" s="34">
        <f>IF(F14=0,"",G14/F14)</f>
        <v/>
      </c>
    </row>
    <row r="15">
      <c r="A15" s="31">
        <f>DATE(SelYear,11,1)</f>
        <v/>
      </c>
      <c r="B15" s="32" t="inlineStr">
        <is>
          <t>Nov</t>
        </is>
      </c>
      <c r="C15" s="33">
        <f>COUNTIFS('Pipeline'!$A$2:$A$13,"&gt;="&amp;$A15,'Pipeline'!$A$2:$A$13,"&lt;"&amp;DATE(YEAR($A15),MONTH($A15)+1,1))</f>
        <v/>
      </c>
      <c r="D15" s="33">
        <f>COUNTIFS('Pipeline'!$I$2:$I$13,"&gt;="&amp;$A15,'Pipeline'!$I$2:$I$13,"&lt;"&amp;DATE(YEAR($A15),MONTH($A15)+1,1))</f>
        <v/>
      </c>
      <c r="E15" s="34">
        <f>SUMIFS('Pipeline'!$G$2:$G$13,'Pipeline'!$I$2:$I$13,"&gt;="&amp;$A15,'Pipeline'!$I$2:$I$13,"&lt;"&amp;DATE(YEAR($A15),MONTH($A15)+1,1))</f>
        <v/>
      </c>
      <c r="F15" s="33">
        <f>COUNTIFS('Pipeline'!$H$2:$H$13,"Won",'Pipeline'!$K$2:$K$13,"&gt;="&amp;$A15,'Pipeline'!$K$2:$K$13,"&lt;"&amp;DATE(YEAR($A15),MONTH($A15)+1,1))</f>
        <v/>
      </c>
      <c r="G15" s="34">
        <f>SUMIFS('Pipeline'!$G$2:$G$13,'Pipeline'!$H$2:$H$13,"Won",'Pipeline'!$K$2:$K$13,"&gt;="&amp;$A15,'Pipeline'!$K$2:$K$13,"&lt;"&amp;DATE(YEAR($A15),MONTH($A15)+1,1))</f>
        <v/>
      </c>
      <c r="H15" s="33">
        <f>COUNTIFS('Pipeline'!$H$2:$H$13,"Lost",'Pipeline'!$K$2:$K$13,"&gt;="&amp;$A15,'Pipeline'!$K$2:$K$13,"&lt;"&amp;DATE(YEAR($A15),MONTH($A15)+1,1))</f>
        <v/>
      </c>
      <c r="I15" s="35">
        <f>IF(F15+H15=0,"",F15/(F15+H15))</f>
        <v/>
      </c>
      <c r="J15" s="34">
        <f>IF(F15=0,"",G15/F15)</f>
        <v/>
      </c>
    </row>
    <row r="16">
      <c r="A16" s="31">
        <f>DATE(SelYear,12,1)</f>
        <v/>
      </c>
      <c r="B16" s="32" t="inlineStr">
        <is>
          <t>Dec</t>
        </is>
      </c>
      <c r="C16" s="33">
        <f>COUNTIFS('Pipeline'!$A$2:$A$13,"&gt;="&amp;$A16,'Pipeline'!$A$2:$A$13,"&lt;"&amp;DATE(YEAR($A16),MONTH($A16)+1,1))</f>
        <v/>
      </c>
      <c r="D16" s="33">
        <f>COUNTIFS('Pipeline'!$I$2:$I$13,"&gt;="&amp;$A16,'Pipeline'!$I$2:$I$13,"&lt;"&amp;DATE(YEAR($A16),MONTH($A16)+1,1))</f>
        <v/>
      </c>
      <c r="E16" s="34">
        <f>SUMIFS('Pipeline'!$G$2:$G$13,'Pipeline'!$I$2:$I$13,"&gt;="&amp;$A16,'Pipeline'!$I$2:$I$13,"&lt;"&amp;DATE(YEAR($A16),MONTH($A16)+1,1))</f>
        <v/>
      </c>
      <c r="F16" s="33">
        <f>COUNTIFS('Pipeline'!$H$2:$H$13,"Won",'Pipeline'!$K$2:$K$13,"&gt;="&amp;$A16,'Pipeline'!$K$2:$K$13,"&lt;"&amp;DATE(YEAR($A16),MONTH($A16)+1,1))</f>
        <v/>
      </c>
      <c r="G16" s="34">
        <f>SUMIFS('Pipeline'!$G$2:$G$13,'Pipeline'!$H$2:$H$13,"Won",'Pipeline'!$K$2:$K$13,"&gt;="&amp;$A16,'Pipeline'!$K$2:$K$13,"&lt;"&amp;DATE(YEAR($A16),MONTH($A16)+1,1))</f>
        <v/>
      </c>
      <c r="H16" s="33">
        <f>COUNTIFS('Pipeline'!$H$2:$H$13,"Lost",'Pipeline'!$K$2:$K$13,"&gt;="&amp;$A16,'Pipeline'!$K$2:$K$13,"&lt;"&amp;DATE(YEAR($A16),MONTH($A16)+1,1))</f>
        <v/>
      </c>
      <c r="I16" s="35">
        <f>IF(F16+H16=0,"",F16/(F16+H16))</f>
        <v/>
      </c>
      <c r="J16" s="34">
        <f>IF(F16=0,"",G16/F16)</f>
        <v/>
      </c>
    </row>
    <row r="17">
      <c r="B17" s="32" t="inlineStr">
        <is>
          <t>Year</t>
        </is>
      </c>
      <c r="C17" s="36">
        <f>SUM(C5:C16)</f>
        <v/>
      </c>
      <c r="D17" s="36">
        <f>SUM(D5:D16)</f>
        <v/>
      </c>
      <c r="E17" s="37">
        <f>SUM(E5:E16)</f>
        <v/>
      </c>
      <c r="F17" s="36">
        <f>SUM(F5:F16)</f>
        <v/>
      </c>
      <c r="G17" s="37">
        <f>SUM(G5:G16)</f>
        <v/>
      </c>
      <c r="H17" s="36">
        <f>SUM(H5:H16)</f>
        <v/>
      </c>
      <c r="I17" s="38">
        <f>IF(F17+H17=0,"",F17/(F17+H17))</f>
        <v/>
      </c>
      <c r="J17" s="37">
        <f>IF(F17=0,"",G17/F17)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4" customWidth="1" min="3" max="3"/>
    <col width="13" customWidth="1" min="4" max="4"/>
    <col width="16" customWidth="1" min="5" max="5"/>
    <col width="18" customWidth="1" min="6" max="6"/>
    <col width="24" customWidth="1" min="7" max="7"/>
    <col width="10" customWidth="1" min="8" max="8"/>
    <col width="15" customWidth="1" min="9" max="9"/>
    <col width="17" customWidth="1" min="10" max="10"/>
  </cols>
  <sheetData>
    <row r="1" ht="32" customHeight="1">
      <c r="A1" s="21" t="inlineStr">
        <is>
          <t>Date</t>
        </is>
      </c>
      <c r="B1" s="21" t="inlineStr">
        <is>
          <t>Description</t>
        </is>
      </c>
      <c r="C1" s="21" t="inlineStr">
        <is>
          <t>Category</t>
        </is>
      </c>
      <c r="D1" s="21" t="inlineStr">
        <is>
          <t>Amount €</t>
        </is>
      </c>
      <c r="E1" s="21" t="inlineStr">
        <is>
          <t>Payment method</t>
        </is>
      </c>
      <c r="F1" s="21" t="inlineStr">
        <is>
          <t>Invoice or reference</t>
        </is>
      </c>
      <c r="G1" s="21" t="inlineStr">
        <is>
          <t>Notes</t>
        </is>
      </c>
      <c r="H1" s="21" t="inlineStr">
        <is>
          <t>Type</t>
        </is>
      </c>
      <c r="I1" s="21" t="inlineStr">
        <is>
          <t>In (+) / out (−) €</t>
        </is>
      </c>
      <c r="J1" s="21" t="inlineStr">
        <is>
          <t>Running balance € (in row order)</t>
        </is>
      </c>
    </row>
    <row r="2">
      <c r="A2" s="26" t="n">
        <v>46390</v>
      </c>
      <c r="B2" s="27" t="inlineStr">
        <is>
          <t>Rent January</t>
        </is>
      </c>
      <c r="C2" s="27" t="inlineStr">
        <is>
          <t>Rent</t>
        </is>
      </c>
      <c r="D2" s="28" t="n">
        <v>850</v>
      </c>
      <c r="E2" s="27" t="inlineStr">
        <is>
          <t>Direct debit</t>
        </is>
      </c>
      <c r="F2" s="27" t="inlineStr">
        <is>
          <t>REC-0101</t>
        </is>
      </c>
      <c r="G2" s="27" t="n"/>
      <c r="H2" s="30">
        <f>IF(C2="","",IFERROR(INDEX(CatTypes,MATCH(C2,CatList,0)),"Check category"))</f>
        <v/>
      </c>
      <c r="I2" s="39">
        <f>IF(OR(D2="",H2=""),"",IF(H2="Income",D2,IF(H2="Expense",-D2,"")))</f>
        <v/>
      </c>
      <c r="J2" s="39">
        <f>IF(I2="","",OpeningBalance+SUM($I$2:I2))</f>
        <v/>
      </c>
    </row>
    <row r="3">
      <c r="A3" s="26" t="n">
        <v>46395</v>
      </c>
      <c r="B3" s="27" t="inlineStr">
        <is>
          <t>Invoice FT 2027/1 Café Aurora</t>
        </is>
      </c>
      <c r="C3" s="27" t="inlineStr">
        <is>
          <t>Sales</t>
        </is>
      </c>
      <c r="D3" s="28" t="n">
        <v>2400</v>
      </c>
      <c r="E3" s="27" t="inlineStr">
        <is>
          <t>Bank transfer</t>
        </is>
      </c>
      <c r="F3" s="27" t="inlineStr">
        <is>
          <t>FT 2027/1</t>
        </is>
      </c>
      <c r="G3" s="27" t="n"/>
      <c r="H3" s="30">
        <f>IF(C3="","",IFERROR(INDEX(CatTypes,MATCH(C3,CatList,0)),"Check category"))</f>
        <v/>
      </c>
      <c r="I3" s="39">
        <f>IF(OR(D3="",H3=""),"",IF(H3="Income",D3,IF(H3="Expense",-D3,"")))</f>
        <v/>
      </c>
      <c r="J3" s="39">
        <f>IF(I3="","",OpeningBalance+SUM($I$2:I3))</f>
        <v/>
      </c>
    </row>
    <row r="4">
      <c r="A4" s="26" t="n">
        <v>46397</v>
      </c>
      <c r="B4" s="27" t="inlineStr">
        <is>
          <t>Timber and fixings</t>
        </is>
      </c>
      <c r="C4" s="27" t="inlineStr">
        <is>
          <t>Suppliers and materials</t>
        </is>
      </c>
      <c r="D4" s="28" t="n">
        <v>640</v>
      </c>
      <c r="E4" s="27" t="inlineStr">
        <is>
          <t>Card</t>
        </is>
      </c>
      <c r="F4" s="27" t="inlineStr">
        <is>
          <t>FT A/381</t>
        </is>
      </c>
      <c r="G4" s="27" t="n"/>
      <c r="H4" s="30">
        <f>IF(C4="","",IFERROR(INDEX(CatTypes,MATCH(C4,CatList,0)),"Check category"))</f>
        <v/>
      </c>
      <c r="I4" s="39">
        <f>IF(OR(D4="",H4=""),"",IF(H4="Income",D4,IF(H4="Expense",-D4,"")))</f>
        <v/>
      </c>
      <c r="J4" s="39">
        <f>IF(I4="","",OpeningBalance+SUM($I$2:I4))</f>
        <v/>
      </c>
    </row>
    <row r="5">
      <c r="A5" s="26" t="n">
        <v>46415</v>
      </c>
      <c r="B5" s="27" t="inlineStr">
        <is>
          <t>Salaries January</t>
        </is>
      </c>
      <c r="C5" s="27" t="inlineStr">
        <is>
          <t>Salaries</t>
        </is>
      </c>
      <c r="D5" s="28" t="n">
        <v>2600</v>
      </c>
      <c r="E5" s="27" t="inlineStr">
        <is>
          <t>Bank transfer</t>
        </is>
      </c>
      <c r="F5" s="27" t="n"/>
      <c r="G5" s="27" t="n"/>
      <c r="H5" s="30">
        <f>IF(C5="","",IFERROR(INDEX(CatTypes,MATCH(C5,CatList,0)),"Check category"))</f>
        <v/>
      </c>
      <c r="I5" s="39">
        <f>IF(OR(D5="",H5=""),"",IF(H5="Income",D5,IF(H5="Expense",-D5,"")))</f>
        <v/>
      </c>
      <c r="J5" s="39">
        <f>IF(I5="","",OpeningBalance+SUM($I$2:I5))</f>
        <v/>
      </c>
    </row>
    <row r="6">
      <c r="A6" s="26" t="n">
        <v>46415</v>
      </c>
      <c r="B6" s="27" t="inlineStr">
        <is>
          <t>Social security January</t>
        </is>
      </c>
      <c r="C6" s="27" t="inlineStr">
        <is>
          <t>Social security</t>
        </is>
      </c>
      <c r="D6" s="28" t="n">
        <v>618</v>
      </c>
      <c r="E6" s="27" t="inlineStr">
        <is>
          <t>Direct debit</t>
        </is>
      </c>
      <c r="F6" s="27" t="n"/>
      <c r="G6" s="27" t="n"/>
      <c r="H6" s="30">
        <f>IF(C6="","",IFERROR(INDEX(CatTypes,MATCH(C6,CatList,0)),"Check category"))</f>
        <v/>
      </c>
      <c r="I6" s="39">
        <f>IF(OR(D6="",H6=""),"",IF(H6="Income",D6,IF(H6="Expense",-D6,"")))</f>
        <v/>
      </c>
      <c r="J6" s="39">
        <f>IF(I6="","",OpeningBalance+SUM($I$2:I6))</f>
        <v/>
      </c>
    </row>
    <row r="7">
      <c r="A7" s="26" t="n">
        <v>46421</v>
      </c>
      <c r="B7" s="27" t="inlineStr">
        <is>
          <t>Rent February</t>
        </is>
      </c>
      <c r="C7" s="27" t="inlineStr">
        <is>
          <t>Rent</t>
        </is>
      </c>
      <c r="D7" s="28" t="n">
        <v>850</v>
      </c>
      <c r="E7" s="27" t="inlineStr">
        <is>
          <t>Direct debit</t>
        </is>
      </c>
      <c r="F7" s="27" t="inlineStr">
        <is>
          <t>REC-0201</t>
        </is>
      </c>
      <c r="G7" s="27" t="n"/>
      <c r="H7" s="30">
        <f>IF(C7="","",IFERROR(INDEX(CatTypes,MATCH(C7,CatList,0)),"Check category"))</f>
        <v/>
      </c>
      <c r="I7" s="39">
        <f>IF(OR(D7="",H7=""),"",IF(H7="Income",D7,IF(H7="Expense",-D7,"")))</f>
        <v/>
      </c>
      <c r="J7" s="39">
        <f>IF(I7="","",OpeningBalance+SUM($I$2:I7))</f>
        <v/>
      </c>
    </row>
    <row r="8">
      <c r="A8" s="26" t="n">
        <v>46423</v>
      </c>
      <c r="B8" s="27" t="inlineStr">
        <is>
          <t>Invoice FT 2027/2 Studio Nove</t>
        </is>
      </c>
      <c r="C8" s="27" t="inlineStr">
        <is>
          <t>Services</t>
        </is>
      </c>
      <c r="D8" s="28" t="n">
        <v>1200</v>
      </c>
      <c r="E8" s="27" t="inlineStr">
        <is>
          <t>Bank transfer</t>
        </is>
      </c>
      <c r="F8" s="27" t="inlineStr">
        <is>
          <t>FT 2027/2</t>
        </is>
      </c>
      <c r="G8" s="27" t="n"/>
      <c r="H8" s="30">
        <f>IF(C8="","",IFERROR(INDEX(CatTypes,MATCH(C8,CatList,0)),"Check category"))</f>
        <v/>
      </c>
      <c r="I8" s="39">
        <f>IF(OR(D8="",H8=""),"",IF(H8="Income",D8,IF(H8="Expense",-D8,"")))</f>
        <v/>
      </c>
      <c r="J8" s="39">
        <f>IF(I8="","",OpeningBalance+SUM($I$2:I8))</f>
        <v/>
      </c>
    </row>
    <row r="9">
      <c r="A9" s="26" t="n">
        <v>46430</v>
      </c>
      <c r="B9" s="27" t="inlineStr">
        <is>
          <t>Electricity</t>
        </is>
      </c>
      <c r="C9" s="27" t="inlineStr">
        <is>
          <t>Utilities</t>
        </is>
      </c>
      <c r="D9" s="28" t="n">
        <v>96.40000000000001</v>
      </c>
      <c r="E9" s="27" t="inlineStr">
        <is>
          <t>Direct debit</t>
        </is>
      </c>
      <c r="F9" s="27" t="n"/>
      <c r="G9" s="27" t="n"/>
      <c r="H9" s="30">
        <f>IF(C9="","",IFERROR(INDEX(CatTypes,MATCH(C9,CatList,0)),"Check category"))</f>
        <v/>
      </c>
      <c r="I9" s="39">
        <f>IF(OR(D9="",H9=""),"",IF(H9="Income",D9,IF(H9="Expense",-D9,"")))</f>
        <v/>
      </c>
      <c r="J9" s="39">
        <f>IF(I9="","",OpeningBalance+SUM($I$2:I9))</f>
        <v/>
      </c>
    </row>
    <row r="10">
      <c r="A10" s="26" t="n">
        <v>46433</v>
      </c>
      <c r="B10" s="27" t="inlineStr">
        <is>
          <t>Social media ads</t>
        </is>
      </c>
      <c r="C10" s="27" t="inlineStr">
        <is>
          <t>Marketing</t>
        </is>
      </c>
      <c r="D10" s="28" t="n">
        <v>120</v>
      </c>
      <c r="E10" s="27" t="inlineStr">
        <is>
          <t>Card</t>
        </is>
      </c>
      <c r="F10" s="27" t="n"/>
      <c r="G10" s="27" t="n"/>
      <c r="H10" s="30">
        <f>IF(C10="","",IFERROR(INDEX(CatTypes,MATCH(C10,CatList,0)),"Check category"))</f>
        <v/>
      </c>
      <c r="I10" s="39">
        <f>IF(OR(D10="",H10=""),"",IF(H10="Income",D10,IF(H10="Expense",-D10,"")))</f>
        <v/>
      </c>
      <c r="J10" s="39">
        <f>IF(I10="","",OpeningBalance+SUM($I$2:I10))</f>
        <v/>
      </c>
    </row>
    <row r="11">
      <c r="A11" s="26" t="n">
        <v>46444</v>
      </c>
      <c r="B11" s="27" t="inlineStr">
        <is>
          <t>Salaries February</t>
        </is>
      </c>
      <c r="C11" s="27" t="inlineStr">
        <is>
          <t>Salaries</t>
        </is>
      </c>
      <c r="D11" s="28" t="n">
        <v>2600</v>
      </c>
      <c r="E11" s="27" t="inlineStr">
        <is>
          <t>Bank transfer</t>
        </is>
      </c>
      <c r="F11" s="27" t="n"/>
      <c r="G11" s="27" t="n"/>
      <c r="H11" s="30">
        <f>IF(C11="","",IFERROR(INDEX(CatTypes,MATCH(C11,CatList,0)),"Check category"))</f>
        <v/>
      </c>
      <c r="I11" s="39">
        <f>IF(OR(D11="",H11=""),"",IF(H11="Income",D11,IF(H11="Expense",-D11,"")))</f>
        <v/>
      </c>
      <c r="J11" s="39">
        <f>IF(I11="","",OpeningBalance+SUM($I$2:I11))</f>
        <v/>
      </c>
    </row>
    <row r="12">
      <c r="A12" s="26" t="n">
        <v>46444</v>
      </c>
      <c r="B12" s="27" t="inlineStr">
        <is>
          <t>Social security February</t>
        </is>
      </c>
      <c r="C12" s="27" t="inlineStr">
        <is>
          <t>Social security</t>
        </is>
      </c>
      <c r="D12" s="28" t="n">
        <v>618</v>
      </c>
      <c r="E12" s="27" t="inlineStr">
        <is>
          <t>Direct debit</t>
        </is>
      </c>
      <c r="F12" s="27" t="n"/>
      <c r="G12" s="27" t="n"/>
      <c r="H12" s="30">
        <f>IF(C12="","",IFERROR(INDEX(CatTypes,MATCH(C12,CatList,0)),"Check category"))</f>
        <v/>
      </c>
      <c r="I12" s="39">
        <f>IF(OR(D12="",H12=""),"",IF(H12="Income",D12,IF(H12="Expense",-D12,"")))</f>
        <v/>
      </c>
      <c r="J12" s="39">
        <f>IF(I12="","",OpeningBalance+SUM($I$2:I12))</f>
        <v/>
      </c>
    </row>
    <row r="13">
      <c r="A13" s="26" t="n">
        <v>46449</v>
      </c>
      <c r="B13" s="27" t="inlineStr">
        <is>
          <t>Rent March</t>
        </is>
      </c>
      <c r="C13" s="27" t="inlineStr">
        <is>
          <t>Rent</t>
        </is>
      </c>
      <c r="D13" s="28" t="n">
        <v>850</v>
      </c>
      <c r="E13" s="27" t="inlineStr">
        <is>
          <t>Direct debit</t>
        </is>
      </c>
      <c r="F13" s="27" t="inlineStr">
        <is>
          <t>REC-0301</t>
        </is>
      </c>
      <c r="G13" s="27" t="n"/>
      <c r="H13" s="30">
        <f>IF(C13="","",IFERROR(INDEX(CatTypes,MATCH(C13,CatList,0)),"Check category"))</f>
        <v/>
      </c>
      <c r="I13" s="39">
        <f>IF(OR(D13="",H13=""),"",IF(H13="Income",D13,IF(H13="Expense",-D13,"")))</f>
        <v/>
      </c>
      <c r="J13" s="39">
        <f>IF(I13="","",OpeningBalance+SUM($I$2:I13))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H2:H13">
    <cfRule type="cellIs" priority="1" operator="equal" dxfId="0">
      <formula>"Check category"</formula>
    </cfRule>
  </conditionalFormatting>
  <dataValidations count="3">
    <dataValidation sqref="C2:C13" showDropDown="0" showInputMessage="0" showErrorMessage="1" allowBlank="1" errorTitle="Not in the list" error="Choose a value from the list (edit lists in Settings)." type="list">
      <formula1>=CatList</formula1>
    </dataValidation>
    <dataValidation sqref="D2:D13" showDropDown="0" showInputMessage="0" showErrorMessage="1" allowBlank="1" error="Enter a number." type="decimal" operator="greaterThanOrEqual">
      <formula1>0</formula1>
    </dataValidation>
    <dataValidation sqref="E2:E13" showDropDown="0" showInputMessage="0" showErrorMessage="1" allowBlank="1" errorTitle="Not in the list" error="Choose a value from the list (edit lists in Settings)." type="list">
      <formula1>=PayList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16" customWidth="1" min="3" max="3"/>
    <col width="16" customWidth="1" min="4" max="4"/>
    <col width="16" customWidth="1" min="5" max="5"/>
    <col width="20" customWidth="1" min="6" max="6"/>
  </cols>
  <sheetData>
    <row r="1">
      <c r="A1" s="1" t="inlineStr">
        <is>
          <t>Cash by month</t>
        </is>
      </c>
    </row>
    <row r="2">
      <c r="A2" s="3" t="inlineStr">
        <is>
          <t>Money in and out for each month of the year in Settings, by transaction date.</t>
        </is>
      </c>
    </row>
    <row r="4" ht="32" customHeight="1">
      <c r="A4" s="21" t="inlineStr">
        <is>
          <t>Month start</t>
        </is>
      </c>
      <c r="B4" s="21" t="inlineStr">
        <is>
          <t>Month</t>
        </is>
      </c>
      <c r="C4" s="21" t="inlineStr">
        <is>
          <t>Money in €</t>
        </is>
      </c>
      <c r="D4" s="21" t="inlineStr">
        <is>
          <t>Money out €</t>
        </is>
      </c>
      <c r="E4" s="21" t="inlineStr">
        <is>
          <t>Net €</t>
        </is>
      </c>
      <c r="F4" s="21" t="inlineStr">
        <is>
          <t>Cash at month end €</t>
        </is>
      </c>
    </row>
    <row r="5">
      <c r="A5" s="31">
        <f>DATE(SelYear,1,1)</f>
        <v/>
      </c>
      <c r="B5" s="32" t="inlineStr">
        <is>
          <t>Jan</t>
        </is>
      </c>
      <c r="C5" s="34">
        <f>SUMIFS('Transactions'!$D$2:$D$13,'Transactions'!$H$2:$H$13,"Income",'Transactions'!$A$2:$A$13,"&gt;="&amp;$A5,'Transactions'!$A$2:$A$13,"&lt;"&amp;DATE(YEAR($A5),MONTH($A5)+1,1))</f>
        <v/>
      </c>
      <c r="D5" s="34">
        <f>SUMIFS('Transactions'!$D$2:$D$13,'Transactions'!$H$2:$H$13,"Expense",'Transactions'!$A$2:$A$13,"&gt;="&amp;$A5,'Transactions'!$A$2:$A$13,"&lt;"&amp;DATE(YEAR($A5),MONTH($A5)+1,1))</f>
        <v/>
      </c>
      <c r="E5" s="34">
        <f>C5-D5</f>
        <v/>
      </c>
      <c r="F5" s="34">
        <f>OpeningBalance+E5</f>
        <v/>
      </c>
    </row>
    <row r="6">
      <c r="A6" s="31">
        <f>DATE(SelYear,2,1)</f>
        <v/>
      </c>
      <c r="B6" s="32" t="inlineStr">
        <is>
          <t>Feb</t>
        </is>
      </c>
      <c r="C6" s="34">
        <f>SUMIFS('Transactions'!$D$2:$D$13,'Transactions'!$H$2:$H$13,"Income",'Transactions'!$A$2:$A$13,"&gt;="&amp;$A6,'Transactions'!$A$2:$A$13,"&lt;"&amp;DATE(YEAR($A6),MONTH($A6)+1,1))</f>
        <v/>
      </c>
      <c r="D6" s="34">
        <f>SUMIFS('Transactions'!$D$2:$D$13,'Transactions'!$H$2:$H$13,"Expense",'Transactions'!$A$2:$A$13,"&gt;="&amp;$A6,'Transactions'!$A$2:$A$13,"&lt;"&amp;DATE(YEAR($A6),MONTH($A6)+1,1))</f>
        <v/>
      </c>
      <c r="E6" s="34">
        <f>C6-D6</f>
        <v/>
      </c>
      <c r="F6" s="34">
        <f>F5+E6</f>
        <v/>
      </c>
    </row>
    <row r="7">
      <c r="A7" s="31">
        <f>DATE(SelYear,3,1)</f>
        <v/>
      </c>
      <c r="B7" s="32" t="inlineStr">
        <is>
          <t>Mar</t>
        </is>
      </c>
      <c r="C7" s="34">
        <f>SUMIFS('Transactions'!$D$2:$D$13,'Transactions'!$H$2:$H$13,"Income",'Transactions'!$A$2:$A$13,"&gt;="&amp;$A7,'Transactions'!$A$2:$A$13,"&lt;"&amp;DATE(YEAR($A7),MONTH($A7)+1,1))</f>
        <v/>
      </c>
      <c r="D7" s="34">
        <f>SUMIFS('Transactions'!$D$2:$D$13,'Transactions'!$H$2:$H$13,"Expense",'Transactions'!$A$2:$A$13,"&gt;="&amp;$A7,'Transactions'!$A$2:$A$13,"&lt;"&amp;DATE(YEAR($A7),MONTH($A7)+1,1))</f>
        <v/>
      </c>
      <c r="E7" s="34">
        <f>C7-D7</f>
        <v/>
      </c>
      <c r="F7" s="34">
        <f>F6+E7</f>
        <v/>
      </c>
    </row>
    <row r="8">
      <c r="A8" s="31">
        <f>DATE(SelYear,4,1)</f>
        <v/>
      </c>
      <c r="B8" s="32" t="inlineStr">
        <is>
          <t>Apr</t>
        </is>
      </c>
      <c r="C8" s="34">
        <f>SUMIFS('Transactions'!$D$2:$D$13,'Transactions'!$H$2:$H$13,"Income",'Transactions'!$A$2:$A$13,"&gt;="&amp;$A8,'Transactions'!$A$2:$A$13,"&lt;"&amp;DATE(YEAR($A8),MONTH($A8)+1,1))</f>
        <v/>
      </c>
      <c r="D8" s="34">
        <f>SUMIFS('Transactions'!$D$2:$D$13,'Transactions'!$H$2:$H$13,"Expense",'Transactions'!$A$2:$A$13,"&gt;="&amp;$A8,'Transactions'!$A$2:$A$13,"&lt;"&amp;DATE(YEAR($A8),MONTH($A8)+1,1))</f>
        <v/>
      </c>
      <c r="E8" s="34">
        <f>C8-D8</f>
        <v/>
      </c>
      <c r="F8" s="34">
        <f>F7+E8</f>
        <v/>
      </c>
    </row>
    <row r="9">
      <c r="A9" s="31">
        <f>DATE(SelYear,5,1)</f>
        <v/>
      </c>
      <c r="B9" s="32" t="inlineStr">
        <is>
          <t>May</t>
        </is>
      </c>
      <c r="C9" s="34">
        <f>SUMIFS('Transactions'!$D$2:$D$13,'Transactions'!$H$2:$H$13,"Income",'Transactions'!$A$2:$A$13,"&gt;="&amp;$A9,'Transactions'!$A$2:$A$13,"&lt;"&amp;DATE(YEAR($A9),MONTH($A9)+1,1))</f>
        <v/>
      </c>
      <c r="D9" s="34">
        <f>SUMIFS('Transactions'!$D$2:$D$13,'Transactions'!$H$2:$H$13,"Expense",'Transactions'!$A$2:$A$13,"&gt;="&amp;$A9,'Transactions'!$A$2:$A$13,"&lt;"&amp;DATE(YEAR($A9),MONTH($A9)+1,1))</f>
        <v/>
      </c>
      <c r="E9" s="34">
        <f>C9-D9</f>
        <v/>
      </c>
      <c r="F9" s="34">
        <f>F8+E9</f>
        <v/>
      </c>
    </row>
    <row r="10">
      <c r="A10" s="31">
        <f>DATE(SelYear,6,1)</f>
        <v/>
      </c>
      <c r="B10" s="32" t="inlineStr">
        <is>
          <t>Jun</t>
        </is>
      </c>
      <c r="C10" s="34">
        <f>SUMIFS('Transactions'!$D$2:$D$13,'Transactions'!$H$2:$H$13,"Income",'Transactions'!$A$2:$A$13,"&gt;="&amp;$A10,'Transactions'!$A$2:$A$13,"&lt;"&amp;DATE(YEAR($A10),MONTH($A10)+1,1))</f>
        <v/>
      </c>
      <c r="D10" s="34">
        <f>SUMIFS('Transactions'!$D$2:$D$13,'Transactions'!$H$2:$H$13,"Expense",'Transactions'!$A$2:$A$13,"&gt;="&amp;$A10,'Transactions'!$A$2:$A$13,"&lt;"&amp;DATE(YEAR($A10),MONTH($A10)+1,1))</f>
        <v/>
      </c>
      <c r="E10" s="34">
        <f>C10-D10</f>
        <v/>
      </c>
      <c r="F10" s="34">
        <f>F9+E10</f>
        <v/>
      </c>
    </row>
    <row r="11">
      <c r="A11" s="31">
        <f>DATE(SelYear,7,1)</f>
        <v/>
      </c>
      <c r="B11" s="32" t="inlineStr">
        <is>
          <t>Jul</t>
        </is>
      </c>
      <c r="C11" s="34">
        <f>SUMIFS('Transactions'!$D$2:$D$13,'Transactions'!$H$2:$H$13,"Income",'Transactions'!$A$2:$A$13,"&gt;="&amp;$A11,'Transactions'!$A$2:$A$13,"&lt;"&amp;DATE(YEAR($A11),MONTH($A11)+1,1))</f>
        <v/>
      </c>
      <c r="D11" s="34">
        <f>SUMIFS('Transactions'!$D$2:$D$13,'Transactions'!$H$2:$H$13,"Expense",'Transactions'!$A$2:$A$13,"&gt;="&amp;$A11,'Transactions'!$A$2:$A$13,"&lt;"&amp;DATE(YEAR($A11),MONTH($A11)+1,1))</f>
        <v/>
      </c>
      <c r="E11" s="34">
        <f>C11-D11</f>
        <v/>
      </c>
      <c r="F11" s="34">
        <f>F10+E11</f>
        <v/>
      </c>
    </row>
    <row r="12">
      <c r="A12" s="31">
        <f>DATE(SelYear,8,1)</f>
        <v/>
      </c>
      <c r="B12" s="32" t="inlineStr">
        <is>
          <t>Aug</t>
        </is>
      </c>
      <c r="C12" s="34">
        <f>SUMIFS('Transactions'!$D$2:$D$13,'Transactions'!$H$2:$H$13,"Income",'Transactions'!$A$2:$A$13,"&gt;="&amp;$A12,'Transactions'!$A$2:$A$13,"&lt;"&amp;DATE(YEAR($A12),MONTH($A12)+1,1))</f>
        <v/>
      </c>
      <c r="D12" s="34">
        <f>SUMIFS('Transactions'!$D$2:$D$13,'Transactions'!$H$2:$H$13,"Expense",'Transactions'!$A$2:$A$13,"&gt;="&amp;$A12,'Transactions'!$A$2:$A$13,"&lt;"&amp;DATE(YEAR($A12),MONTH($A12)+1,1))</f>
        <v/>
      </c>
      <c r="E12" s="34">
        <f>C12-D12</f>
        <v/>
      </c>
      <c r="F12" s="34">
        <f>F11+E12</f>
        <v/>
      </c>
    </row>
    <row r="13">
      <c r="A13" s="31">
        <f>DATE(SelYear,9,1)</f>
        <v/>
      </c>
      <c r="B13" s="32" t="inlineStr">
        <is>
          <t>Sep</t>
        </is>
      </c>
      <c r="C13" s="34">
        <f>SUMIFS('Transactions'!$D$2:$D$13,'Transactions'!$H$2:$H$13,"Income",'Transactions'!$A$2:$A$13,"&gt;="&amp;$A13,'Transactions'!$A$2:$A$13,"&lt;"&amp;DATE(YEAR($A13),MONTH($A13)+1,1))</f>
        <v/>
      </c>
      <c r="D13" s="34">
        <f>SUMIFS('Transactions'!$D$2:$D$13,'Transactions'!$H$2:$H$13,"Expense",'Transactions'!$A$2:$A$13,"&gt;="&amp;$A13,'Transactions'!$A$2:$A$13,"&lt;"&amp;DATE(YEAR($A13),MONTH($A13)+1,1))</f>
        <v/>
      </c>
      <c r="E13" s="34">
        <f>C13-D13</f>
        <v/>
      </c>
      <c r="F13" s="34">
        <f>F12+E13</f>
        <v/>
      </c>
    </row>
    <row r="14">
      <c r="A14" s="31">
        <f>DATE(SelYear,10,1)</f>
        <v/>
      </c>
      <c r="B14" s="32" t="inlineStr">
        <is>
          <t>Oct</t>
        </is>
      </c>
      <c r="C14" s="34">
        <f>SUMIFS('Transactions'!$D$2:$D$13,'Transactions'!$H$2:$H$13,"Income",'Transactions'!$A$2:$A$13,"&gt;="&amp;$A14,'Transactions'!$A$2:$A$13,"&lt;"&amp;DATE(YEAR($A14),MONTH($A14)+1,1))</f>
        <v/>
      </c>
      <c r="D14" s="34">
        <f>SUMIFS('Transactions'!$D$2:$D$13,'Transactions'!$H$2:$H$13,"Expense",'Transactions'!$A$2:$A$13,"&gt;="&amp;$A14,'Transactions'!$A$2:$A$13,"&lt;"&amp;DATE(YEAR($A14),MONTH($A14)+1,1))</f>
        <v/>
      </c>
      <c r="E14" s="34">
        <f>C14-D14</f>
        <v/>
      </c>
      <c r="F14" s="34">
        <f>F13+E14</f>
        <v/>
      </c>
    </row>
    <row r="15">
      <c r="A15" s="31">
        <f>DATE(SelYear,11,1)</f>
        <v/>
      </c>
      <c r="B15" s="32" t="inlineStr">
        <is>
          <t>Nov</t>
        </is>
      </c>
      <c r="C15" s="34">
        <f>SUMIFS('Transactions'!$D$2:$D$13,'Transactions'!$H$2:$H$13,"Income",'Transactions'!$A$2:$A$13,"&gt;="&amp;$A15,'Transactions'!$A$2:$A$13,"&lt;"&amp;DATE(YEAR($A15),MONTH($A15)+1,1))</f>
        <v/>
      </c>
      <c r="D15" s="34">
        <f>SUMIFS('Transactions'!$D$2:$D$13,'Transactions'!$H$2:$H$13,"Expense",'Transactions'!$A$2:$A$13,"&gt;="&amp;$A15,'Transactions'!$A$2:$A$13,"&lt;"&amp;DATE(YEAR($A15),MONTH($A15)+1,1))</f>
        <v/>
      </c>
      <c r="E15" s="34">
        <f>C15-D15</f>
        <v/>
      </c>
      <c r="F15" s="34">
        <f>F14+E15</f>
        <v/>
      </c>
    </row>
    <row r="16">
      <c r="A16" s="31">
        <f>DATE(SelYear,12,1)</f>
        <v/>
      </c>
      <c r="B16" s="32" t="inlineStr">
        <is>
          <t>Dec</t>
        </is>
      </c>
      <c r="C16" s="34">
        <f>SUMIFS('Transactions'!$D$2:$D$13,'Transactions'!$H$2:$H$13,"Income",'Transactions'!$A$2:$A$13,"&gt;="&amp;$A16,'Transactions'!$A$2:$A$13,"&lt;"&amp;DATE(YEAR($A16),MONTH($A16)+1,1))</f>
        <v/>
      </c>
      <c r="D16" s="34">
        <f>SUMIFS('Transactions'!$D$2:$D$13,'Transactions'!$H$2:$H$13,"Expense",'Transactions'!$A$2:$A$13,"&gt;="&amp;$A16,'Transactions'!$A$2:$A$13,"&lt;"&amp;DATE(YEAR($A16),MONTH($A16)+1,1))</f>
        <v/>
      </c>
      <c r="E16" s="34">
        <f>C16-D16</f>
        <v/>
      </c>
      <c r="F16" s="34">
        <f>F15+E16</f>
        <v/>
      </c>
    </row>
    <row r="17">
      <c r="B17" s="32" t="inlineStr">
        <is>
          <t>Year</t>
        </is>
      </c>
      <c r="C17" s="37">
        <f>SUM(C5:C16)</f>
        <v/>
      </c>
      <c r="D17" s="37">
        <f>SUM(D5:D16)</f>
        <v/>
      </c>
      <c r="E17" s="37">
        <f>SUM(E5:E16)</f>
        <v/>
      </c>
      <c r="F17" s="37">
        <f>F16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34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5" customWidth="1" min="15" max="15"/>
    <col width="12" customWidth="1" min="16" max="16"/>
  </cols>
  <sheetData>
    <row r="1">
      <c r="A1" s="1" t="inlineStr">
        <is>
          <t>Categories by month</t>
        </is>
      </c>
    </row>
    <row r="2">
      <c r="A2" s="3" t="inlineStr">
        <is>
          <t>Totals per category and month for the year in Settings.</t>
        </is>
      </c>
    </row>
    <row r="4">
      <c r="A4" s="21" t="inlineStr">
        <is>
          <t>Category</t>
        </is>
      </c>
      <c r="B4" s="21" t="inlineStr">
        <is>
          <t>Type</t>
        </is>
      </c>
      <c r="C4" s="40">
        <f>DATE(SelYear,1,1)</f>
        <v/>
      </c>
      <c r="D4" s="40">
        <f>DATE(SelYear,2,1)</f>
        <v/>
      </c>
      <c r="E4" s="40">
        <f>DATE(SelYear,3,1)</f>
        <v/>
      </c>
      <c r="F4" s="40">
        <f>DATE(SelYear,4,1)</f>
        <v/>
      </c>
      <c r="G4" s="40">
        <f>DATE(SelYear,5,1)</f>
        <v/>
      </c>
      <c r="H4" s="40">
        <f>DATE(SelYear,6,1)</f>
        <v/>
      </c>
      <c r="I4" s="40">
        <f>DATE(SelYear,7,1)</f>
        <v/>
      </c>
      <c r="J4" s="40">
        <f>DATE(SelYear,8,1)</f>
        <v/>
      </c>
      <c r="K4" s="40">
        <f>DATE(SelYear,9,1)</f>
        <v/>
      </c>
      <c r="L4" s="40">
        <f>DATE(SelYear,10,1)</f>
        <v/>
      </c>
      <c r="M4" s="40">
        <f>DATE(SelYear,11,1)</f>
        <v/>
      </c>
      <c r="N4" s="40">
        <f>DATE(SelYear,12,1)</f>
        <v/>
      </c>
      <c r="O4" s="21" t="inlineStr">
        <is>
          <t>Year total €</t>
        </is>
      </c>
      <c r="P4" s="21" t="inlineStr">
        <is>
          <t>Ranking helper</t>
        </is>
      </c>
    </row>
    <row r="5">
      <c r="A5" s="41">
        <f>IF(INDEX(CatList,1)="","",INDEX(CatList,1))</f>
        <v/>
      </c>
      <c r="B5" s="41">
        <f>IF(INDEX(CatTypes,1)="","",INDEX(CatTypes,1))</f>
        <v/>
      </c>
      <c r="C5" s="34">
        <f>IF($A5="","",SUMIFS('Transactions'!$D$2:$D$13,'Transactions'!$C$2:$C$13,$A5,'Transactions'!$A$2:$A$13,"&gt;="&amp;C$4,'Transactions'!$A$2:$A$13,"&lt;"&amp;DATE(YEAR(C$4),MONTH(C$4)+1,1)))</f>
        <v/>
      </c>
      <c r="D5" s="34">
        <f>IF($A5="","",SUMIFS('Transactions'!$D$2:$D$13,'Transactions'!$C$2:$C$13,$A5,'Transactions'!$A$2:$A$13,"&gt;="&amp;D$4,'Transactions'!$A$2:$A$13,"&lt;"&amp;DATE(YEAR(D$4),MONTH(D$4)+1,1)))</f>
        <v/>
      </c>
      <c r="E5" s="34">
        <f>IF($A5="","",SUMIFS('Transactions'!$D$2:$D$13,'Transactions'!$C$2:$C$13,$A5,'Transactions'!$A$2:$A$13,"&gt;="&amp;E$4,'Transactions'!$A$2:$A$13,"&lt;"&amp;DATE(YEAR(E$4),MONTH(E$4)+1,1)))</f>
        <v/>
      </c>
      <c r="F5" s="34">
        <f>IF($A5="","",SUMIFS('Transactions'!$D$2:$D$13,'Transactions'!$C$2:$C$13,$A5,'Transactions'!$A$2:$A$13,"&gt;="&amp;F$4,'Transactions'!$A$2:$A$13,"&lt;"&amp;DATE(YEAR(F$4),MONTH(F$4)+1,1)))</f>
        <v/>
      </c>
      <c r="G5" s="34">
        <f>IF($A5="","",SUMIFS('Transactions'!$D$2:$D$13,'Transactions'!$C$2:$C$13,$A5,'Transactions'!$A$2:$A$13,"&gt;="&amp;G$4,'Transactions'!$A$2:$A$13,"&lt;"&amp;DATE(YEAR(G$4),MONTH(G$4)+1,1)))</f>
        <v/>
      </c>
      <c r="H5" s="34">
        <f>IF($A5="","",SUMIFS('Transactions'!$D$2:$D$13,'Transactions'!$C$2:$C$13,$A5,'Transactions'!$A$2:$A$13,"&gt;="&amp;H$4,'Transactions'!$A$2:$A$13,"&lt;"&amp;DATE(YEAR(H$4),MONTH(H$4)+1,1)))</f>
        <v/>
      </c>
      <c r="I5" s="34">
        <f>IF($A5="","",SUMIFS('Transactions'!$D$2:$D$13,'Transactions'!$C$2:$C$13,$A5,'Transactions'!$A$2:$A$13,"&gt;="&amp;I$4,'Transactions'!$A$2:$A$13,"&lt;"&amp;DATE(YEAR(I$4),MONTH(I$4)+1,1)))</f>
        <v/>
      </c>
      <c r="J5" s="34">
        <f>IF($A5="","",SUMIFS('Transactions'!$D$2:$D$13,'Transactions'!$C$2:$C$13,$A5,'Transactions'!$A$2:$A$13,"&gt;="&amp;J$4,'Transactions'!$A$2:$A$13,"&lt;"&amp;DATE(YEAR(J$4),MONTH(J$4)+1,1)))</f>
        <v/>
      </c>
      <c r="K5" s="34">
        <f>IF($A5="","",SUMIFS('Transactions'!$D$2:$D$13,'Transactions'!$C$2:$C$13,$A5,'Transactions'!$A$2:$A$13,"&gt;="&amp;K$4,'Transactions'!$A$2:$A$13,"&lt;"&amp;DATE(YEAR(K$4),MONTH(K$4)+1,1)))</f>
        <v/>
      </c>
      <c r="L5" s="34">
        <f>IF($A5="","",SUMIFS('Transactions'!$D$2:$D$13,'Transactions'!$C$2:$C$13,$A5,'Transactions'!$A$2:$A$13,"&gt;="&amp;L$4,'Transactions'!$A$2:$A$13,"&lt;"&amp;DATE(YEAR(L$4),MONTH(L$4)+1,1)))</f>
        <v/>
      </c>
      <c r="M5" s="34">
        <f>IF($A5="","",SUMIFS('Transactions'!$D$2:$D$13,'Transactions'!$C$2:$C$13,$A5,'Transactions'!$A$2:$A$13,"&gt;="&amp;M$4,'Transactions'!$A$2:$A$13,"&lt;"&amp;DATE(YEAR(M$4),MONTH(M$4)+1,1)))</f>
        <v/>
      </c>
      <c r="N5" s="34">
        <f>IF($A5="","",SUMIFS('Transactions'!$D$2:$D$13,'Transactions'!$C$2:$C$13,$A5,'Transactions'!$A$2:$A$13,"&gt;="&amp;N$4,'Transactions'!$A$2:$A$13,"&lt;"&amp;DATE(YEAR(N$4),MONTH(N$4)+1,1)))</f>
        <v/>
      </c>
      <c r="O5" s="37">
        <f>IF($A5="","",SUM(C5:N5))</f>
        <v/>
      </c>
      <c r="P5" s="42">
        <f>IF(AND($B5="Expense",N(+$O5)&gt;0),$O5+ROW()/1000000,0)</f>
        <v/>
      </c>
    </row>
    <row r="6">
      <c r="A6" s="41">
        <f>IF(INDEX(CatList,2)="","",INDEX(CatList,2))</f>
        <v/>
      </c>
      <c r="B6" s="41">
        <f>IF(INDEX(CatTypes,2)="","",INDEX(CatTypes,2))</f>
        <v/>
      </c>
      <c r="C6" s="34">
        <f>IF($A6="","",SUMIFS('Transactions'!$D$2:$D$13,'Transactions'!$C$2:$C$13,$A6,'Transactions'!$A$2:$A$13,"&gt;="&amp;C$4,'Transactions'!$A$2:$A$13,"&lt;"&amp;DATE(YEAR(C$4),MONTH(C$4)+1,1)))</f>
        <v/>
      </c>
      <c r="D6" s="34">
        <f>IF($A6="","",SUMIFS('Transactions'!$D$2:$D$13,'Transactions'!$C$2:$C$13,$A6,'Transactions'!$A$2:$A$13,"&gt;="&amp;D$4,'Transactions'!$A$2:$A$13,"&lt;"&amp;DATE(YEAR(D$4),MONTH(D$4)+1,1)))</f>
        <v/>
      </c>
      <c r="E6" s="34">
        <f>IF($A6="","",SUMIFS('Transactions'!$D$2:$D$13,'Transactions'!$C$2:$C$13,$A6,'Transactions'!$A$2:$A$13,"&gt;="&amp;E$4,'Transactions'!$A$2:$A$13,"&lt;"&amp;DATE(YEAR(E$4),MONTH(E$4)+1,1)))</f>
        <v/>
      </c>
      <c r="F6" s="34">
        <f>IF($A6="","",SUMIFS('Transactions'!$D$2:$D$13,'Transactions'!$C$2:$C$13,$A6,'Transactions'!$A$2:$A$13,"&gt;="&amp;F$4,'Transactions'!$A$2:$A$13,"&lt;"&amp;DATE(YEAR(F$4),MONTH(F$4)+1,1)))</f>
        <v/>
      </c>
      <c r="G6" s="34">
        <f>IF($A6="","",SUMIFS('Transactions'!$D$2:$D$13,'Transactions'!$C$2:$C$13,$A6,'Transactions'!$A$2:$A$13,"&gt;="&amp;G$4,'Transactions'!$A$2:$A$13,"&lt;"&amp;DATE(YEAR(G$4),MONTH(G$4)+1,1)))</f>
        <v/>
      </c>
      <c r="H6" s="34">
        <f>IF($A6="","",SUMIFS('Transactions'!$D$2:$D$13,'Transactions'!$C$2:$C$13,$A6,'Transactions'!$A$2:$A$13,"&gt;="&amp;H$4,'Transactions'!$A$2:$A$13,"&lt;"&amp;DATE(YEAR(H$4),MONTH(H$4)+1,1)))</f>
        <v/>
      </c>
      <c r="I6" s="34">
        <f>IF($A6="","",SUMIFS('Transactions'!$D$2:$D$13,'Transactions'!$C$2:$C$13,$A6,'Transactions'!$A$2:$A$13,"&gt;="&amp;I$4,'Transactions'!$A$2:$A$13,"&lt;"&amp;DATE(YEAR(I$4),MONTH(I$4)+1,1)))</f>
        <v/>
      </c>
      <c r="J6" s="34">
        <f>IF($A6="","",SUMIFS('Transactions'!$D$2:$D$13,'Transactions'!$C$2:$C$13,$A6,'Transactions'!$A$2:$A$13,"&gt;="&amp;J$4,'Transactions'!$A$2:$A$13,"&lt;"&amp;DATE(YEAR(J$4),MONTH(J$4)+1,1)))</f>
        <v/>
      </c>
      <c r="K6" s="34">
        <f>IF($A6="","",SUMIFS('Transactions'!$D$2:$D$13,'Transactions'!$C$2:$C$13,$A6,'Transactions'!$A$2:$A$13,"&gt;="&amp;K$4,'Transactions'!$A$2:$A$13,"&lt;"&amp;DATE(YEAR(K$4),MONTH(K$4)+1,1)))</f>
        <v/>
      </c>
      <c r="L6" s="34">
        <f>IF($A6="","",SUMIFS('Transactions'!$D$2:$D$13,'Transactions'!$C$2:$C$13,$A6,'Transactions'!$A$2:$A$13,"&gt;="&amp;L$4,'Transactions'!$A$2:$A$13,"&lt;"&amp;DATE(YEAR(L$4),MONTH(L$4)+1,1)))</f>
        <v/>
      </c>
      <c r="M6" s="34">
        <f>IF($A6="","",SUMIFS('Transactions'!$D$2:$D$13,'Transactions'!$C$2:$C$13,$A6,'Transactions'!$A$2:$A$13,"&gt;="&amp;M$4,'Transactions'!$A$2:$A$13,"&lt;"&amp;DATE(YEAR(M$4),MONTH(M$4)+1,1)))</f>
        <v/>
      </c>
      <c r="N6" s="34">
        <f>IF($A6="","",SUMIFS('Transactions'!$D$2:$D$13,'Transactions'!$C$2:$C$13,$A6,'Transactions'!$A$2:$A$13,"&gt;="&amp;N$4,'Transactions'!$A$2:$A$13,"&lt;"&amp;DATE(YEAR(N$4),MONTH(N$4)+1,1)))</f>
        <v/>
      </c>
      <c r="O6" s="37">
        <f>IF($A6="","",SUM(C6:N6))</f>
        <v/>
      </c>
      <c r="P6" s="42">
        <f>IF(AND($B6="Expense",N(+$O6)&gt;0),$O6+ROW()/1000000,0)</f>
        <v/>
      </c>
    </row>
    <row r="7">
      <c r="A7" s="41">
        <f>IF(INDEX(CatList,3)="","",INDEX(CatList,3))</f>
        <v/>
      </c>
      <c r="B7" s="41">
        <f>IF(INDEX(CatTypes,3)="","",INDEX(CatTypes,3))</f>
        <v/>
      </c>
      <c r="C7" s="34">
        <f>IF($A7="","",SUMIFS('Transactions'!$D$2:$D$13,'Transactions'!$C$2:$C$13,$A7,'Transactions'!$A$2:$A$13,"&gt;="&amp;C$4,'Transactions'!$A$2:$A$13,"&lt;"&amp;DATE(YEAR(C$4),MONTH(C$4)+1,1)))</f>
        <v/>
      </c>
      <c r="D7" s="34">
        <f>IF($A7="","",SUMIFS('Transactions'!$D$2:$D$13,'Transactions'!$C$2:$C$13,$A7,'Transactions'!$A$2:$A$13,"&gt;="&amp;D$4,'Transactions'!$A$2:$A$13,"&lt;"&amp;DATE(YEAR(D$4),MONTH(D$4)+1,1)))</f>
        <v/>
      </c>
      <c r="E7" s="34">
        <f>IF($A7="","",SUMIFS('Transactions'!$D$2:$D$13,'Transactions'!$C$2:$C$13,$A7,'Transactions'!$A$2:$A$13,"&gt;="&amp;E$4,'Transactions'!$A$2:$A$13,"&lt;"&amp;DATE(YEAR(E$4),MONTH(E$4)+1,1)))</f>
        <v/>
      </c>
      <c r="F7" s="34">
        <f>IF($A7="","",SUMIFS('Transactions'!$D$2:$D$13,'Transactions'!$C$2:$C$13,$A7,'Transactions'!$A$2:$A$13,"&gt;="&amp;F$4,'Transactions'!$A$2:$A$13,"&lt;"&amp;DATE(YEAR(F$4),MONTH(F$4)+1,1)))</f>
        <v/>
      </c>
      <c r="G7" s="34">
        <f>IF($A7="","",SUMIFS('Transactions'!$D$2:$D$13,'Transactions'!$C$2:$C$13,$A7,'Transactions'!$A$2:$A$13,"&gt;="&amp;G$4,'Transactions'!$A$2:$A$13,"&lt;"&amp;DATE(YEAR(G$4),MONTH(G$4)+1,1)))</f>
        <v/>
      </c>
      <c r="H7" s="34">
        <f>IF($A7="","",SUMIFS('Transactions'!$D$2:$D$13,'Transactions'!$C$2:$C$13,$A7,'Transactions'!$A$2:$A$13,"&gt;="&amp;H$4,'Transactions'!$A$2:$A$13,"&lt;"&amp;DATE(YEAR(H$4),MONTH(H$4)+1,1)))</f>
        <v/>
      </c>
      <c r="I7" s="34">
        <f>IF($A7="","",SUMIFS('Transactions'!$D$2:$D$13,'Transactions'!$C$2:$C$13,$A7,'Transactions'!$A$2:$A$13,"&gt;="&amp;I$4,'Transactions'!$A$2:$A$13,"&lt;"&amp;DATE(YEAR(I$4),MONTH(I$4)+1,1)))</f>
        <v/>
      </c>
      <c r="J7" s="34">
        <f>IF($A7="","",SUMIFS('Transactions'!$D$2:$D$13,'Transactions'!$C$2:$C$13,$A7,'Transactions'!$A$2:$A$13,"&gt;="&amp;J$4,'Transactions'!$A$2:$A$13,"&lt;"&amp;DATE(YEAR(J$4),MONTH(J$4)+1,1)))</f>
        <v/>
      </c>
      <c r="K7" s="34">
        <f>IF($A7="","",SUMIFS('Transactions'!$D$2:$D$13,'Transactions'!$C$2:$C$13,$A7,'Transactions'!$A$2:$A$13,"&gt;="&amp;K$4,'Transactions'!$A$2:$A$13,"&lt;"&amp;DATE(YEAR(K$4),MONTH(K$4)+1,1)))</f>
        <v/>
      </c>
      <c r="L7" s="34">
        <f>IF($A7="","",SUMIFS('Transactions'!$D$2:$D$13,'Transactions'!$C$2:$C$13,$A7,'Transactions'!$A$2:$A$13,"&gt;="&amp;L$4,'Transactions'!$A$2:$A$13,"&lt;"&amp;DATE(YEAR(L$4),MONTH(L$4)+1,1)))</f>
        <v/>
      </c>
      <c r="M7" s="34">
        <f>IF($A7="","",SUMIFS('Transactions'!$D$2:$D$13,'Transactions'!$C$2:$C$13,$A7,'Transactions'!$A$2:$A$13,"&gt;="&amp;M$4,'Transactions'!$A$2:$A$13,"&lt;"&amp;DATE(YEAR(M$4),MONTH(M$4)+1,1)))</f>
        <v/>
      </c>
      <c r="N7" s="34">
        <f>IF($A7="","",SUMIFS('Transactions'!$D$2:$D$13,'Transactions'!$C$2:$C$13,$A7,'Transactions'!$A$2:$A$13,"&gt;="&amp;N$4,'Transactions'!$A$2:$A$13,"&lt;"&amp;DATE(YEAR(N$4),MONTH(N$4)+1,1)))</f>
        <v/>
      </c>
      <c r="O7" s="37">
        <f>IF($A7="","",SUM(C7:N7))</f>
        <v/>
      </c>
      <c r="P7" s="42">
        <f>IF(AND($B7="Expense",N(+$O7)&gt;0),$O7+ROW()/1000000,0)</f>
        <v/>
      </c>
    </row>
    <row r="8">
      <c r="A8" s="41">
        <f>IF(INDEX(CatList,4)="","",INDEX(CatList,4))</f>
        <v/>
      </c>
      <c r="B8" s="41">
        <f>IF(INDEX(CatTypes,4)="","",INDEX(CatTypes,4))</f>
        <v/>
      </c>
      <c r="C8" s="34">
        <f>IF($A8="","",SUMIFS('Transactions'!$D$2:$D$13,'Transactions'!$C$2:$C$13,$A8,'Transactions'!$A$2:$A$13,"&gt;="&amp;C$4,'Transactions'!$A$2:$A$13,"&lt;"&amp;DATE(YEAR(C$4),MONTH(C$4)+1,1)))</f>
        <v/>
      </c>
      <c r="D8" s="34">
        <f>IF($A8="","",SUMIFS('Transactions'!$D$2:$D$13,'Transactions'!$C$2:$C$13,$A8,'Transactions'!$A$2:$A$13,"&gt;="&amp;D$4,'Transactions'!$A$2:$A$13,"&lt;"&amp;DATE(YEAR(D$4),MONTH(D$4)+1,1)))</f>
        <v/>
      </c>
      <c r="E8" s="34">
        <f>IF($A8="","",SUMIFS('Transactions'!$D$2:$D$13,'Transactions'!$C$2:$C$13,$A8,'Transactions'!$A$2:$A$13,"&gt;="&amp;E$4,'Transactions'!$A$2:$A$13,"&lt;"&amp;DATE(YEAR(E$4),MONTH(E$4)+1,1)))</f>
        <v/>
      </c>
      <c r="F8" s="34">
        <f>IF($A8="","",SUMIFS('Transactions'!$D$2:$D$13,'Transactions'!$C$2:$C$13,$A8,'Transactions'!$A$2:$A$13,"&gt;="&amp;F$4,'Transactions'!$A$2:$A$13,"&lt;"&amp;DATE(YEAR(F$4),MONTH(F$4)+1,1)))</f>
        <v/>
      </c>
      <c r="G8" s="34">
        <f>IF($A8="","",SUMIFS('Transactions'!$D$2:$D$13,'Transactions'!$C$2:$C$13,$A8,'Transactions'!$A$2:$A$13,"&gt;="&amp;G$4,'Transactions'!$A$2:$A$13,"&lt;"&amp;DATE(YEAR(G$4),MONTH(G$4)+1,1)))</f>
        <v/>
      </c>
      <c r="H8" s="34">
        <f>IF($A8="","",SUMIFS('Transactions'!$D$2:$D$13,'Transactions'!$C$2:$C$13,$A8,'Transactions'!$A$2:$A$13,"&gt;="&amp;H$4,'Transactions'!$A$2:$A$13,"&lt;"&amp;DATE(YEAR(H$4),MONTH(H$4)+1,1)))</f>
        <v/>
      </c>
      <c r="I8" s="34">
        <f>IF($A8="","",SUMIFS('Transactions'!$D$2:$D$13,'Transactions'!$C$2:$C$13,$A8,'Transactions'!$A$2:$A$13,"&gt;="&amp;I$4,'Transactions'!$A$2:$A$13,"&lt;"&amp;DATE(YEAR(I$4),MONTH(I$4)+1,1)))</f>
        <v/>
      </c>
      <c r="J8" s="34">
        <f>IF($A8="","",SUMIFS('Transactions'!$D$2:$D$13,'Transactions'!$C$2:$C$13,$A8,'Transactions'!$A$2:$A$13,"&gt;="&amp;J$4,'Transactions'!$A$2:$A$13,"&lt;"&amp;DATE(YEAR(J$4),MONTH(J$4)+1,1)))</f>
        <v/>
      </c>
      <c r="K8" s="34">
        <f>IF($A8="","",SUMIFS('Transactions'!$D$2:$D$13,'Transactions'!$C$2:$C$13,$A8,'Transactions'!$A$2:$A$13,"&gt;="&amp;K$4,'Transactions'!$A$2:$A$13,"&lt;"&amp;DATE(YEAR(K$4),MONTH(K$4)+1,1)))</f>
        <v/>
      </c>
      <c r="L8" s="34">
        <f>IF($A8="","",SUMIFS('Transactions'!$D$2:$D$13,'Transactions'!$C$2:$C$13,$A8,'Transactions'!$A$2:$A$13,"&gt;="&amp;L$4,'Transactions'!$A$2:$A$13,"&lt;"&amp;DATE(YEAR(L$4),MONTH(L$4)+1,1)))</f>
        <v/>
      </c>
      <c r="M8" s="34">
        <f>IF($A8="","",SUMIFS('Transactions'!$D$2:$D$13,'Transactions'!$C$2:$C$13,$A8,'Transactions'!$A$2:$A$13,"&gt;="&amp;M$4,'Transactions'!$A$2:$A$13,"&lt;"&amp;DATE(YEAR(M$4),MONTH(M$4)+1,1)))</f>
        <v/>
      </c>
      <c r="N8" s="34">
        <f>IF($A8="","",SUMIFS('Transactions'!$D$2:$D$13,'Transactions'!$C$2:$C$13,$A8,'Transactions'!$A$2:$A$13,"&gt;="&amp;N$4,'Transactions'!$A$2:$A$13,"&lt;"&amp;DATE(YEAR(N$4),MONTH(N$4)+1,1)))</f>
        <v/>
      </c>
      <c r="O8" s="37">
        <f>IF($A8="","",SUM(C8:N8))</f>
        <v/>
      </c>
      <c r="P8" s="42">
        <f>IF(AND($B8="Expense",N(+$O8)&gt;0),$O8+ROW()/1000000,0)</f>
        <v/>
      </c>
    </row>
    <row r="9">
      <c r="A9" s="41">
        <f>IF(INDEX(CatList,5)="","",INDEX(CatList,5))</f>
        <v/>
      </c>
      <c r="B9" s="41">
        <f>IF(INDEX(CatTypes,5)="","",INDEX(CatTypes,5))</f>
        <v/>
      </c>
      <c r="C9" s="34">
        <f>IF($A9="","",SUMIFS('Transactions'!$D$2:$D$13,'Transactions'!$C$2:$C$13,$A9,'Transactions'!$A$2:$A$13,"&gt;="&amp;C$4,'Transactions'!$A$2:$A$13,"&lt;"&amp;DATE(YEAR(C$4),MONTH(C$4)+1,1)))</f>
        <v/>
      </c>
      <c r="D9" s="34">
        <f>IF($A9="","",SUMIFS('Transactions'!$D$2:$D$13,'Transactions'!$C$2:$C$13,$A9,'Transactions'!$A$2:$A$13,"&gt;="&amp;D$4,'Transactions'!$A$2:$A$13,"&lt;"&amp;DATE(YEAR(D$4),MONTH(D$4)+1,1)))</f>
        <v/>
      </c>
      <c r="E9" s="34">
        <f>IF($A9="","",SUMIFS('Transactions'!$D$2:$D$13,'Transactions'!$C$2:$C$13,$A9,'Transactions'!$A$2:$A$13,"&gt;="&amp;E$4,'Transactions'!$A$2:$A$13,"&lt;"&amp;DATE(YEAR(E$4),MONTH(E$4)+1,1)))</f>
        <v/>
      </c>
      <c r="F9" s="34">
        <f>IF($A9="","",SUMIFS('Transactions'!$D$2:$D$13,'Transactions'!$C$2:$C$13,$A9,'Transactions'!$A$2:$A$13,"&gt;="&amp;F$4,'Transactions'!$A$2:$A$13,"&lt;"&amp;DATE(YEAR(F$4),MONTH(F$4)+1,1)))</f>
        <v/>
      </c>
      <c r="G9" s="34">
        <f>IF($A9="","",SUMIFS('Transactions'!$D$2:$D$13,'Transactions'!$C$2:$C$13,$A9,'Transactions'!$A$2:$A$13,"&gt;="&amp;G$4,'Transactions'!$A$2:$A$13,"&lt;"&amp;DATE(YEAR(G$4),MONTH(G$4)+1,1)))</f>
        <v/>
      </c>
      <c r="H9" s="34">
        <f>IF($A9="","",SUMIFS('Transactions'!$D$2:$D$13,'Transactions'!$C$2:$C$13,$A9,'Transactions'!$A$2:$A$13,"&gt;="&amp;H$4,'Transactions'!$A$2:$A$13,"&lt;"&amp;DATE(YEAR(H$4),MONTH(H$4)+1,1)))</f>
        <v/>
      </c>
      <c r="I9" s="34">
        <f>IF($A9="","",SUMIFS('Transactions'!$D$2:$D$13,'Transactions'!$C$2:$C$13,$A9,'Transactions'!$A$2:$A$13,"&gt;="&amp;I$4,'Transactions'!$A$2:$A$13,"&lt;"&amp;DATE(YEAR(I$4),MONTH(I$4)+1,1)))</f>
        <v/>
      </c>
      <c r="J9" s="34">
        <f>IF($A9="","",SUMIFS('Transactions'!$D$2:$D$13,'Transactions'!$C$2:$C$13,$A9,'Transactions'!$A$2:$A$13,"&gt;="&amp;J$4,'Transactions'!$A$2:$A$13,"&lt;"&amp;DATE(YEAR(J$4),MONTH(J$4)+1,1)))</f>
        <v/>
      </c>
      <c r="K9" s="34">
        <f>IF($A9="","",SUMIFS('Transactions'!$D$2:$D$13,'Transactions'!$C$2:$C$13,$A9,'Transactions'!$A$2:$A$13,"&gt;="&amp;K$4,'Transactions'!$A$2:$A$13,"&lt;"&amp;DATE(YEAR(K$4),MONTH(K$4)+1,1)))</f>
        <v/>
      </c>
      <c r="L9" s="34">
        <f>IF($A9="","",SUMIFS('Transactions'!$D$2:$D$13,'Transactions'!$C$2:$C$13,$A9,'Transactions'!$A$2:$A$13,"&gt;="&amp;L$4,'Transactions'!$A$2:$A$13,"&lt;"&amp;DATE(YEAR(L$4),MONTH(L$4)+1,1)))</f>
        <v/>
      </c>
      <c r="M9" s="34">
        <f>IF($A9="","",SUMIFS('Transactions'!$D$2:$D$13,'Transactions'!$C$2:$C$13,$A9,'Transactions'!$A$2:$A$13,"&gt;="&amp;M$4,'Transactions'!$A$2:$A$13,"&lt;"&amp;DATE(YEAR(M$4),MONTH(M$4)+1,1)))</f>
        <v/>
      </c>
      <c r="N9" s="34">
        <f>IF($A9="","",SUMIFS('Transactions'!$D$2:$D$13,'Transactions'!$C$2:$C$13,$A9,'Transactions'!$A$2:$A$13,"&gt;="&amp;N$4,'Transactions'!$A$2:$A$13,"&lt;"&amp;DATE(YEAR(N$4),MONTH(N$4)+1,1)))</f>
        <v/>
      </c>
      <c r="O9" s="37">
        <f>IF($A9="","",SUM(C9:N9))</f>
        <v/>
      </c>
      <c r="P9" s="42">
        <f>IF(AND($B9="Expense",N(+$O9)&gt;0),$O9+ROW()/1000000,0)</f>
        <v/>
      </c>
    </row>
    <row r="10">
      <c r="A10" s="41">
        <f>IF(INDEX(CatList,6)="","",INDEX(CatList,6))</f>
        <v/>
      </c>
      <c r="B10" s="41">
        <f>IF(INDEX(CatTypes,6)="","",INDEX(CatTypes,6))</f>
        <v/>
      </c>
      <c r="C10" s="34">
        <f>IF($A10="","",SUMIFS('Transactions'!$D$2:$D$13,'Transactions'!$C$2:$C$13,$A10,'Transactions'!$A$2:$A$13,"&gt;="&amp;C$4,'Transactions'!$A$2:$A$13,"&lt;"&amp;DATE(YEAR(C$4),MONTH(C$4)+1,1)))</f>
        <v/>
      </c>
      <c r="D10" s="34">
        <f>IF($A10="","",SUMIFS('Transactions'!$D$2:$D$13,'Transactions'!$C$2:$C$13,$A10,'Transactions'!$A$2:$A$13,"&gt;="&amp;D$4,'Transactions'!$A$2:$A$13,"&lt;"&amp;DATE(YEAR(D$4),MONTH(D$4)+1,1)))</f>
        <v/>
      </c>
      <c r="E10" s="34">
        <f>IF($A10="","",SUMIFS('Transactions'!$D$2:$D$13,'Transactions'!$C$2:$C$13,$A10,'Transactions'!$A$2:$A$13,"&gt;="&amp;E$4,'Transactions'!$A$2:$A$13,"&lt;"&amp;DATE(YEAR(E$4),MONTH(E$4)+1,1)))</f>
        <v/>
      </c>
      <c r="F10" s="34">
        <f>IF($A10="","",SUMIFS('Transactions'!$D$2:$D$13,'Transactions'!$C$2:$C$13,$A10,'Transactions'!$A$2:$A$13,"&gt;="&amp;F$4,'Transactions'!$A$2:$A$13,"&lt;"&amp;DATE(YEAR(F$4),MONTH(F$4)+1,1)))</f>
        <v/>
      </c>
      <c r="G10" s="34">
        <f>IF($A10="","",SUMIFS('Transactions'!$D$2:$D$13,'Transactions'!$C$2:$C$13,$A10,'Transactions'!$A$2:$A$13,"&gt;="&amp;G$4,'Transactions'!$A$2:$A$13,"&lt;"&amp;DATE(YEAR(G$4),MONTH(G$4)+1,1)))</f>
        <v/>
      </c>
      <c r="H10" s="34">
        <f>IF($A10="","",SUMIFS('Transactions'!$D$2:$D$13,'Transactions'!$C$2:$C$13,$A10,'Transactions'!$A$2:$A$13,"&gt;="&amp;H$4,'Transactions'!$A$2:$A$13,"&lt;"&amp;DATE(YEAR(H$4),MONTH(H$4)+1,1)))</f>
        <v/>
      </c>
      <c r="I10" s="34">
        <f>IF($A10="","",SUMIFS('Transactions'!$D$2:$D$13,'Transactions'!$C$2:$C$13,$A10,'Transactions'!$A$2:$A$13,"&gt;="&amp;I$4,'Transactions'!$A$2:$A$13,"&lt;"&amp;DATE(YEAR(I$4),MONTH(I$4)+1,1)))</f>
        <v/>
      </c>
      <c r="J10" s="34">
        <f>IF($A10="","",SUMIFS('Transactions'!$D$2:$D$13,'Transactions'!$C$2:$C$13,$A10,'Transactions'!$A$2:$A$13,"&gt;="&amp;J$4,'Transactions'!$A$2:$A$13,"&lt;"&amp;DATE(YEAR(J$4),MONTH(J$4)+1,1)))</f>
        <v/>
      </c>
      <c r="K10" s="34">
        <f>IF($A10="","",SUMIFS('Transactions'!$D$2:$D$13,'Transactions'!$C$2:$C$13,$A10,'Transactions'!$A$2:$A$13,"&gt;="&amp;K$4,'Transactions'!$A$2:$A$13,"&lt;"&amp;DATE(YEAR(K$4),MONTH(K$4)+1,1)))</f>
        <v/>
      </c>
      <c r="L10" s="34">
        <f>IF($A10="","",SUMIFS('Transactions'!$D$2:$D$13,'Transactions'!$C$2:$C$13,$A10,'Transactions'!$A$2:$A$13,"&gt;="&amp;L$4,'Transactions'!$A$2:$A$13,"&lt;"&amp;DATE(YEAR(L$4),MONTH(L$4)+1,1)))</f>
        <v/>
      </c>
      <c r="M10" s="34">
        <f>IF($A10="","",SUMIFS('Transactions'!$D$2:$D$13,'Transactions'!$C$2:$C$13,$A10,'Transactions'!$A$2:$A$13,"&gt;="&amp;M$4,'Transactions'!$A$2:$A$13,"&lt;"&amp;DATE(YEAR(M$4),MONTH(M$4)+1,1)))</f>
        <v/>
      </c>
      <c r="N10" s="34">
        <f>IF($A10="","",SUMIFS('Transactions'!$D$2:$D$13,'Transactions'!$C$2:$C$13,$A10,'Transactions'!$A$2:$A$13,"&gt;="&amp;N$4,'Transactions'!$A$2:$A$13,"&lt;"&amp;DATE(YEAR(N$4),MONTH(N$4)+1,1)))</f>
        <v/>
      </c>
      <c r="O10" s="37">
        <f>IF($A10="","",SUM(C10:N10))</f>
        <v/>
      </c>
      <c r="P10" s="42">
        <f>IF(AND($B10="Expense",N(+$O10)&gt;0),$O10+ROW()/1000000,0)</f>
        <v/>
      </c>
    </row>
    <row r="11">
      <c r="A11" s="41">
        <f>IF(INDEX(CatList,7)="","",INDEX(CatList,7))</f>
        <v/>
      </c>
      <c r="B11" s="41">
        <f>IF(INDEX(CatTypes,7)="","",INDEX(CatTypes,7))</f>
        <v/>
      </c>
      <c r="C11" s="34">
        <f>IF($A11="","",SUMIFS('Transactions'!$D$2:$D$13,'Transactions'!$C$2:$C$13,$A11,'Transactions'!$A$2:$A$13,"&gt;="&amp;C$4,'Transactions'!$A$2:$A$13,"&lt;"&amp;DATE(YEAR(C$4),MONTH(C$4)+1,1)))</f>
        <v/>
      </c>
      <c r="D11" s="34">
        <f>IF($A11="","",SUMIFS('Transactions'!$D$2:$D$13,'Transactions'!$C$2:$C$13,$A11,'Transactions'!$A$2:$A$13,"&gt;="&amp;D$4,'Transactions'!$A$2:$A$13,"&lt;"&amp;DATE(YEAR(D$4),MONTH(D$4)+1,1)))</f>
        <v/>
      </c>
      <c r="E11" s="34">
        <f>IF($A11="","",SUMIFS('Transactions'!$D$2:$D$13,'Transactions'!$C$2:$C$13,$A11,'Transactions'!$A$2:$A$13,"&gt;="&amp;E$4,'Transactions'!$A$2:$A$13,"&lt;"&amp;DATE(YEAR(E$4),MONTH(E$4)+1,1)))</f>
        <v/>
      </c>
      <c r="F11" s="34">
        <f>IF($A11="","",SUMIFS('Transactions'!$D$2:$D$13,'Transactions'!$C$2:$C$13,$A11,'Transactions'!$A$2:$A$13,"&gt;="&amp;F$4,'Transactions'!$A$2:$A$13,"&lt;"&amp;DATE(YEAR(F$4),MONTH(F$4)+1,1)))</f>
        <v/>
      </c>
      <c r="G11" s="34">
        <f>IF($A11="","",SUMIFS('Transactions'!$D$2:$D$13,'Transactions'!$C$2:$C$13,$A11,'Transactions'!$A$2:$A$13,"&gt;="&amp;G$4,'Transactions'!$A$2:$A$13,"&lt;"&amp;DATE(YEAR(G$4),MONTH(G$4)+1,1)))</f>
        <v/>
      </c>
      <c r="H11" s="34">
        <f>IF($A11="","",SUMIFS('Transactions'!$D$2:$D$13,'Transactions'!$C$2:$C$13,$A11,'Transactions'!$A$2:$A$13,"&gt;="&amp;H$4,'Transactions'!$A$2:$A$13,"&lt;"&amp;DATE(YEAR(H$4),MONTH(H$4)+1,1)))</f>
        <v/>
      </c>
      <c r="I11" s="34">
        <f>IF($A11="","",SUMIFS('Transactions'!$D$2:$D$13,'Transactions'!$C$2:$C$13,$A11,'Transactions'!$A$2:$A$13,"&gt;="&amp;I$4,'Transactions'!$A$2:$A$13,"&lt;"&amp;DATE(YEAR(I$4),MONTH(I$4)+1,1)))</f>
        <v/>
      </c>
      <c r="J11" s="34">
        <f>IF($A11="","",SUMIFS('Transactions'!$D$2:$D$13,'Transactions'!$C$2:$C$13,$A11,'Transactions'!$A$2:$A$13,"&gt;="&amp;J$4,'Transactions'!$A$2:$A$13,"&lt;"&amp;DATE(YEAR(J$4),MONTH(J$4)+1,1)))</f>
        <v/>
      </c>
      <c r="K11" s="34">
        <f>IF($A11="","",SUMIFS('Transactions'!$D$2:$D$13,'Transactions'!$C$2:$C$13,$A11,'Transactions'!$A$2:$A$13,"&gt;="&amp;K$4,'Transactions'!$A$2:$A$13,"&lt;"&amp;DATE(YEAR(K$4),MONTH(K$4)+1,1)))</f>
        <v/>
      </c>
      <c r="L11" s="34">
        <f>IF($A11="","",SUMIFS('Transactions'!$D$2:$D$13,'Transactions'!$C$2:$C$13,$A11,'Transactions'!$A$2:$A$13,"&gt;="&amp;L$4,'Transactions'!$A$2:$A$13,"&lt;"&amp;DATE(YEAR(L$4),MONTH(L$4)+1,1)))</f>
        <v/>
      </c>
      <c r="M11" s="34">
        <f>IF($A11="","",SUMIFS('Transactions'!$D$2:$D$13,'Transactions'!$C$2:$C$13,$A11,'Transactions'!$A$2:$A$13,"&gt;="&amp;M$4,'Transactions'!$A$2:$A$13,"&lt;"&amp;DATE(YEAR(M$4),MONTH(M$4)+1,1)))</f>
        <v/>
      </c>
      <c r="N11" s="34">
        <f>IF($A11="","",SUMIFS('Transactions'!$D$2:$D$13,'Transactions'!$C$2:$C$13,$A11,'Transactions'!$A$2:$A$13,"&gt;="&amp;N$4,'Transactions'!$A$2:$A$13,"&lt;"&amp;DATE(YEAR(N$4),MONTH(N$4)+1,1)))</f>
        <v/>
      </c>
      <c r="O11" s="37">
        <f>IF($A11="","",SUM(C11:N11))</f>
        <v/>
      </c>
      <c r="P11" s="42">
        <f>IF(AND($B11="Expense",N(+$O11)&gt;0),$O11+ROW()/1000000,0)</f>
        <v/>
      </c>
    </row>
    <row r="12">
      <c r="A12" s="41">
        <f>IF(INDEX(CatList,8)="","",INDEX(CatList,8))</f>
        <v/>
      </c>
      <c r="B12" s="41">
        <f>IF(INDEX(CatTypes,8)="","",INDEX(CatTypes,8))</f>
        <v/>
      </c>
      <c r="C12" s="34">
        <f>IF($A12="","",SUMIFS('Transactions'!$D$2:$D$13,'Transactions'!$C$2:$C$13,$A12,'Transactions'!$A$2:$A$13,"&gt;="&amp;C$4,'Transactions'!$A$2:$A$13,"&lt;"&amp;DATE(YEAR(C$4),MONTH(C$4)+1,1)))</f>
        <v/>
      </c>
      <c r="D12" s="34">
        <f>IF($A12="","",SUMIFS('Transactions'!$D$2:$D$13,'Transactions'!$C$2:$C$13,$A12,'Transactions'!$A$2:$A$13,"&gt;="&amp;D$4,'Transactions'!$A$2:$A$13,"&lt;"&amp;DATE(YEAR(D$4),MONTH(D$4)+1,1)))</f>
        <v/>
      </c>
      <c r="E12" s="34">
        <f>IF($A12="","",SUMIFS('Transactions'!$D$2:$D$13,'Transactions'!$C$2:$C$13,$A12,'Transactions'!$A$2:$A$13,"&gt;="&amp;E$4,'Transactions'!$A$2:$A$13,"&lt;"&amp;DATE(YEAR(E$4),MONTH(E$4)+1,1)))</f>
        <v/>
      </c>
      <c r="F12" s="34">
        <f>IF($A12="","",SUMIFS('Transactions'!$D$2:$D$13,'Transactions'!$C$2:$C$13,$A12,'Transactions'!$A$2:$A$13,"&gt;="&amp;F$4,'Transactions'!$A$2:$A$13,"&lt;"&amp;DATE(YEAR(F$4),MONTH(F$4)+1,1)))</f>
        <v/>
      </c>
      <c r="G12" s="34">
        <f>IF($A12="","",SUMIFS('Transactions'!$D$2:$D$13,'Transactions'!$C$2:$C$13,$A12,'Transactions'!$A$2:$A$13,"&gt;="&amp;G$4,'Transactions'!$A$2:$A$13,"&lt;"&amp;DATE(YEAR(G$4),MONTH(G$4)+1,1)))</f>
        <v/>
      </c>
      <c r="H12" s="34">
        <f>IF($A12="","",SUMIFS('Transactions'!$D$2:$D$13,'Transactions'!$C$2:$C$13,$A12,'Transactions'!$A$2:$A$13,"&gt;="&amp;H$4,'Transactions'!$A$2:$A$13,"&lt;"&amp;DATE(YEAR(H$4),MONTH(H$4)+1,1)))</f>
        <v/>
      </c>
      <c r="I12" s="34">
        <f>IF($A12="","",SUMIFS('Transactions'!$D$2:$D$13,'Transactions'!$C$2:$C$13,$A12,'Transactions'!$A$2:$A$13,"&gt;="&amp;I$4,'Transactions'!$A$2:$A$13,"&lt;"&amp;DATE(YEAR(I$4),MONTH(I$4)+1,1)))</f>
        <v/>
      </c>
      <c r="J12" s="34">
        <f>IF($A12="","",SUMIFS('Transactions'!$D$2:$D$13,'Transactions'!$C$2:$C$13,$A12,'Transactions'!$A$2:$A$13,"&gt;="&amp;J$4,'Transactions'!$A$2:$A$13,"&lt;"&amp;DATE(YEAR(J$4),MONTH(J$4)+1,1)))</f>
        <v/>
      </c>
      <c r="K12" s="34">
        <f>IF($A12="","",SUMIFS('Transactions'!$D$2:$D$13,'Transactions'!$C$2:$C$13,$A12,'Transactions'!$A$2:$A$13,"&gt;="&amp;K$4,'Transactions'!$A$2:$A$13,"&lt;"&amp;DATE(YEAR(K$4),MONTH(K$4)+1,1)))</f>
        <v/>
      </c>
      <c r="L12" s="34">
        <f>IF($A12="","",SUMIFS('Transactions'!$D$2:$D$13,'Transactions'!$C$2:$C$13,$A12,'Transactions'!$A$2:$A$13,"&gt;="&amp;L$4,'Transactions'!$A$2:$A$13,"&lt;"&amp;DATE(YEAR(L$4),MONTH(L$4)+1,1)))</f>
        <v/>
      </c>
      <c r="M12" s="34">
        <f>IF($A12="","",SUMIFS('Transactions'!$D$2:$D$13,'Transactions'!$C$2:$C$13,$A12,'Transactions'!$A$2:$A$13,"&gt;="&amp;M$4,'Transactions'!$A$2:$A$13,"&lt;"&amp;DATE(YEAR(M$4),MONTH(M$4)+1,1)))</f>
        <v/>
      </c>
      <c r="N12" s="34">
        <f>IF($A12="","",SUMIFS('Transactions'!$D$2:$D$13,'Transactions'!$C$2:$C$13,$A12,'Transactions'!$A$2:$A$13,"&gt;="&amp;N$4,'Transactions'!$A$2:$A$13,"&lt;"&amp;DATE(YEAR(N$4),MONTH(N$4)+1,1)))</f>
        <v/>
      </c>
      <c r="O12" s="37">
        <f>IF($A12="","",SUM(C12:N12))</f>
        <v/>
      </c>
      <c r="P12" s="42">
        <f>IF(AND($B12="Expense",N(+$O12)&gt;0),$O12+ROW()/1000000,0)</f>
        <v/>
      </c>
    </row>
    <row r="13">
      <c r="A13" s="41">
        <f>IF(INDEX(CatList,9)="","",INDEX(CatList,9))</f>
        <v/>
      </c>
      <c r="B13" s="41">
        <f>IF(INDEX(CatTypes,9)="","",INDEX(CatTypes,9))</f>
        <v/>
      </c>
      <c r="C13" s="34">
        <f>IF($A13="","",SUMIFS('Transactions'!$D$2:$D$13,'Transactions'!$C$2:$C$13,$A13,'Transactions'!$A$2:$A$13,"&gt;="&amp;C$4,'Transactions'!$A$2:$A$13,"&lt;"&amp;DATE(YEAR(C$4),MONTH(C$4)+1,1)))</f>
        <v/>
      </c>
      <c r="D13" s="34">
        <f>IF($A13="","",SUMIFS('Transactions'!$D$2:$D$13,'Transactions'!$C$2:$C$13,$A13,'Transactions'!$A$2:$A$13,"&gt;="&amp;D$4,'Transactions'!$A$2:$A$13,"&lt;"&amp;DATE(YEAR(D$4),MONTH(D$4)+1,1)))</f>
        <v/>
      </c>
      <c r="E13" s="34">
        <f>IF($A13="","",SUMIFS('Transactions'!$D$2:$D$13,'Transactions'!$C$2:$C$13,$A13,'Transactions'!$A$2:$A$13,"&gt;="&amp;E$4,'Transactions'!$A$2:$A$13,"&lt;"&amp;DATE(YEAR(E$4),MONTH(E$4)+1,1)))</f>
        <v/>
      </c>
      <c r="F13" s="34">
        <f>IF($A13="","",SUMIFS('Transactions'!$D$2:$D$13,'Transactions'!$C$2:$C$13,$A13,'Transactions'!$A$2:$A$13,"&gt;="&amp;F$4,'Transactions'!$A$2:$A$13,"&lt;"&amp;DATE(YEAR(F$4),MONTH(F$4)+1,1)))</f>
        <v/>
      </c>
      <c r="G13" s="34">
        <f>IF($A13="","",SUMIFS('Transactions'!$D$2:$D$13,'Transactions'!$C$2:$C$13,$A13,'Transactions'!$A$2:$A$13,"&gt;="&amp;G$4,'Transactions'!$A$2:$A$13,"&lt;"&amp;DATE(YEAR(G$4),MONTH(G$4)+1,1)))</f>
        <v/>
      </c>
      <c r="H13" s="34">
        <f>IF($A13="","",SUMIFS('Transactions'!$D$2:$D$13,'Transactions'!$C$2:$C$13,$A13,'Transactions'!$A$2:$A$13,"&gt;="&amp;H$4,'Transactions'!$A$2:$A$13,"&lt;"&amp;DATE(YEAR(H$4),MONTH(H$4)+1,1)))</f>
        <v/>
      </c>
      <c r="I13" s="34">
        <f>IF($A13="","",SUMIFS('Transactions'!$D$2:$D$13,'Transactions'!$C$2:$C$13,$A13,'Transactions'!$A$2:$A$13,"&gt;="&amp;I$4,'Transactions'!$A$2:$A$13,"&lt;"&amp;DATE(YEAR(I$4),MONTH(I$4)+1,1)))</f>
        <v/>
      </c>
      <c r="J13" s="34">
        <f>IF($A13="","",SUMIFS('Transactions'!$D$2:$D$13,'Transactions'!$C$2:$C$13,$A13,'Transactions'!$A$2:$A$13,"&gt;="&amp;J$4,'Transactions'!$A$2:$A$13,"&lt;"&amp;DATE(YEAR(J$4),MONTH(J$4)+1,1)))</f>
        <v/>
      </c>
      <c r="K13" s="34">
        <f>IF($A13="","",SUMIFS('Transactions'!$D$2:$D$13,'Transactions'!$C$2:$C$13,$A13,'Transactions'!$A$2:$A$13,"&gt;="&amp;K$4,'Transactions'!$A$2:$A$13,"&lt;"&amp;DATE(YEAR(K$4),MONTH(K$4)+1,1)))</f>
        <v/>
      </c>
      <c r="L13" s="34">
        <f>IF($A13="","",SUMIFS('Transactions'!$D$2:$D$13,'Transactions'!$C$2:$C$13,$A13,'Transactions'!$A$2:$A$13,"&gt;="&amp;L$4,'Transactions'!$A$2:$A$13,"&lt;"&amp;DATE(YEAR(L$4),MONTH(L$4)+1,1)))</f>
        <v/>
      </c>
      <c r="M13" s="34">
        <f>IF($A13="","",SUMIFS('Transactions'!$D$2:$D$13,'Transactions'!$C$2:$C$13,$A13,'Transactions'!$A$2:$A$13,"&gt;="&amp;M$4,'Transactions'!$A$2:$A$13,"&lt;"&amp;DATE(YEAR(M$4),MONTH(M$4)+1,1)))</f>
        <v/>
      </c>
      <c r="N13" s="34">
        <f>IF($A13="","",SUMIFS('Transactions'!$D$2:$D$13,'Transactions'!$C$2:$C$13,$A13,'Transactions'!$A$2:$A$13,"&gt;="&amp;N$4,'Transactions'!$A$2:$A$13,"&lt;"&amp;DATE(YEAR(N$4),MONTH(N$4)+1,1)))</f>
        <v/>
      </c>
      <c r="O13" s="37">
        <f>IF($A13="","",SUM(C13:N13))</f>
        <v/>
      </c>
      <c r="P13" s="42">
        <f>IF(AND($B13="Expense",N(+$O13)&gt;0),$O13+ROW()/1000000,0)</f>
        <v/>
      </c>
    </row>
    <row r="14">
      <c r="A14" s="41">
        <f>IF(INDEX(CatList,10)="","",INDEX(CatList,10))</f>
        <v/>
      </c>
      <c r="B14" s="41">
        <f>IF(INDEX(CatTypes,10)="","",INDEX(CatTypes,10))</f>
        <v/>
      </c>
      <c r="C14" s="34">
        <f>IF($A14="","",SUMIFS('Transactions'!$D$2:$D$13,'Transactions'!$C$2:$C$13,$A14,'Transactions'!$A$2:$A$13,"&gt;="&amp;C$4,'Transactions'!$A$2:$A$13,"&lt;"&amp;DATE(YEAR(C$4),MONTH(C$4)+1,1)))</f>
        <v/>
      </c>
      <c r="D14" s="34">
        <f>IF($A14="","",SUMIFS('Transactions'!$D$2:$D$13,'Transactions'!$C$2:$C$13,$A14,'Transactions'!$A$2:$A$13,"&gt;="&amp;D$4,'Transactions'!$A$2:$A$13,"&lt;"&amp;DATE(YEAR(D$4),MONTH(D$4)+1,1)))</f>
        <v/>
      </c>
      <c r="E14" s="34">
        <f>IF($A14="","",SUMIFS('Transactions'!$D$2:$D$13,'Transactions'!$C$2:$C$13,$A14,'Transactions'!$A$2:$A$13,"&gt;="&amp;E$4,'Transactions'!$A$2:$A$13,"&lt;"&amp;DATE(YEAR(E$4),MONTH(E$4)+1,1)))</f>
        <v/>
      </c>
      <c r="F14" s="34">
        <f>IF($A14="","",SUMIFS('Transactions'!$D$2:$D$13,'Transactions'!$C$2:$C$13,$A14,'Transactions'!$A$2:$A$13,"&gt;="&amp;F$4,'Transactions'!$A$2:$A$13,"&lt;"&amp;DATE(YEAR(F$4),MONTH(F$4)+1,1)))</f>
        <v/>
      </c>
      <c r="G14" s="34">
        <f>IF($A14="","",SUMIFS('Transactions'!$D$2:$D$13,'Transactions'!$C$2:$C$13,$A14,'Transactions'!$A$2:$A$13,"&gt;="&amp;G$4,'Transactions'!$A$2:$A$13,"&lt;"&amp;DATE(YEAR(G$4),MONTH(G$4)+1,1)))</f>
        <v/>
      </c>
      <c r="H14" s="34">
        <f>IF($A14="","",SUMIFS('Transactions'!$D$2:$D$13,'Transactions'!$C$2:$C$13,$A14,'Transactions'!$A$2:$A$13,"&gt;="&amp;H$4,'Transactions'!$A$2:$A$13,"&lt;"&amp;DATE(YEAR(H$4),MONTH(H$4)+1,1)))</f>
        <v/>
      </c>
      <c r="I14" s="34">
        <f>IF($A14="","",SUMIFS('Transactions'!$D$2:$D$13,'Transactions'!$C$2:$C$13,$A14,'Transactions'!$A$2:$A$13,"&gt;="&amp;I$4,'Transactions'!$A$2:$A$13,"&lt;"&amp;DATE(YEAR(I$4),MONTH(I$4)+1,1)))</f>
        <v/>
      </c>
      <c r="J14" s="34">
        <f>IF($A14="","",SUMIFS('Transactions'!$D$2:$D$13,'Transactions'!$C$2:$C$13,$A14,'Transactions'!$A$2:$A$13,"&gt;="&amp;J$4,'Transactions'!$A$2:$A$13,"&lt;"&amp;DATE(YEAR(J$4),MONTH(J$4)+1,1)))</f>
        <v/>
      </c>
      <c r="K14" s="34">
        <f>IF($A14="","",SUMIFS('Transactions'!$D$2:$D$13,'Transactions'!$C$2:$C$13,$A14,'Transactions'!$A$2:$A$13,"&gt;="&amp;K$4,'Transactions'!$A$2:$A$13,"&lt;"&amp;DATE(YEAR(K$4),MONTH(K$4)+1,1)))</f>
        <v/>
      </c>
      <c r="L14" s="34">
        <f>IF($A14="","",SUMIFS('Transactions'!$D$2:$D$13,'Transactions'!$C$2:$C$13,$A14,'Transactions'!$A$2:$A$13,"&gt;="&amp;L$4,'Transactions'!$A$2:$A$13,"&lt;"&amp;DATE(YEAR(L$4),MONTH(L$4)+1,1)))</f>
        <v/>
      </c>
      <c r="M14" s="34">
        <f>IF($A14="","",SUMIFS('Transactions'!$D$2:$D$13,'Transactions'!$C$2:$C$13,$A14,'Transactions'!$A$2:$A$13,"&gt;="&amp;M$4,'Transactions'!$A$2:$A$13,"&lt;"&amp;DATE(YEAR(M$4),MONTH(M$4)+1,1)))</f>
        <v/>
      </c>
      <c r="N14" s="34">
        <f>IF($A14="","",SUMIFS('Transactions'!$D$2:$D$13,'Transactions'!$C$2:$C$13,$A14,'Transactions'!$A$2:$A$13,"&gt;="&amp;N$4,'Transactions'!$A$2:$A$13,"&lt;"&amp;DATE(YEAR(N$4),MONTH(N$4)+1,1)))</f>
        <v/>
      </c>
      <c r="O14" s="37">
        <f>IF($A14="","",SUM(C14:N14))</f>
        <v/>
      </c>
      <c r="P14" s="42">
        <f>IF(AND($B14="Expense",N(+$O14)&gt;0),$O14+ROW()/1000000,0)</f>
        <v/>
      </c>
    </row>
    <row r="15">
      <c r="A15" s="41">
        <f>IF(INDEX(CatList,11)="","",INDEX(CatList,11))</f>
        <v/>
      </c>
      <c r="B15" s="41">
        <f>IF(INDEX(CatTypes,11)="","",INDEX(CatTypes,11))</f>
        <v/>
      </c>
      <c r="C15" s="34">
        <f>IF($A15="","",SUMIFS('Transactions'!$D$2:$D$13,'Transactions'!$C$2:$C$13,$A15,'Transactions'!$A$2:$A$13,"&gt;="&amp;C$4,'Transactions'!$A$2:$A$13,"&lt;"&amp;DATE(YEAR(C$4),MONTH(C$4)+1,1)))</f>
        <v/>
      </c>
      <c r="D15" s="34">
        <f>IF($A15="","",SUMIFS('Transactions'!$D$2:$D$13,'Transactions'!$C$2:$C$13,$A15,'Transactions'!$A$2:$A$13,"&gt;="&amp;D$4,'Transactions'!$A$2:$A$13,"&lt;"&amp;DATE(YEAR(D$4),MONTH(D$4)+1,1)))</f>
        <v/>
      </c>
      <c r="E15" s="34">
        <f>IF($A15="","",SUMIFS('Transactions'!$D$2:$D$13,'Transactions'!$C$2:$C$13,$A15,'Transactions'!$A$2:$A$13,"&gt;="&amp;E$4,'Transactions'!$A$2:$A$13,"&lt;"&amp;DATE(YEAR(E$4),MONTH(E$4)+1,1)))</f>
        <v/>
      </c>
      <c r="F15" s="34">
        <f>IF($A15="","",SUMIFS('Transactions'!$D$2:$D$13,'Transactions'!$C$2:$C$13,$A15,'Transactions'!$A$2:$A$13,"&gt;="&amp;F$4,'Transactions'!$A$2:$A$13,"&lt;"&amp;DATE(YEAR(F$4),MONTH(F$4)+1,1)))</f>
        <v/>
      </c>
      <c r="G15" s="34">
        <f>IF($A15="","",SUMIFS('Transactions'!$D$2:$D$13,'Transactions'!$C$2:$C$13,$A15,'Transactions'!$A$2:$A$13,"&gt;="&amp;G$4,'Transactions'!$A$2:$A$13,"&lt;"&amp;DATE(YEAR(G$4),MONTH(G$4)+1,1)))</f>
        <v/>
      </c>
      <c r="H15" s="34">
        <f>IF($A15="","",SUMIFS('Transactions'!$D$2:$D$13,'Transactions'!$C$2:$C$13,$A15,'Transactions'!$A$2:$A$13,"&gt;="&amp;H$4,'Transactions'!$A$2:$A$13,"&lt;"&amp;DATE(YEAR(H$4),MONTH(H$4)+1,1)))</f>
        <v/>
      </c>
      <c r="I15" s="34">
        <f>IF($A15="","",SUMIFS('Transactions'!$D$2:$D$13,'Transactions'!$C$2:$C$13,$A15,'Transactions'!$A$2:$A$13,"&gt;="&amp;I$4,'Transactions'!$A$2:$A$13,"&lt;"&amp;DATE(YEAR(I$4),MONTH(I$4)+1,1)))</f>
        <v/>
      </c>
      <c r="J15" s="34">
        <f>IF($A15="","",SUMIFS('Transactions'!$D$2:$D$13,'Transactions'!$C$2:$C$13,$A15,'Transactions'!$A$2:$A$13,"&gt;="&amp;J$4,'Transactions'!$A$2:$A$13,"&lt;"&amp;DATE(YEAR(J$4),MONTH(J$4)+1,1)))</f>
        <v/>
      </c>
      <c r="K15" s="34">
        <f>IF($A15="","",SUMIFS('Transactions'!$D$2:$D$13,'Transactions'!$C$2:$C$13,$A15,'Transactions'!$A$2:$A$13,"&gt;="&amp;K$4,'Transactions'!$A$2:$A$13,"&lt;"&amp;DATE(YEAR(K$4),MONTH(K$4)+1,1)))</f>
        <v/>
      </c>
      <c r="L15" s="34">
        <f>IF($A15="","",SUMIFS('Transactions'!$D$2:$D$13,'Transactions'!$C$2:$C$13,$A15,'Transactions'!$A$2:$A$13,"&gt;="&amp;L$4,'Transactions'!$A$2:$A$13,"&lt;"&amp;DATE(YEAR(L$4),MONTH(L$4)+1,1)))</f>
        <v/>
      </c>
      <c r="M15" s="34">
        <f>IF($A15="","",SUMIFS('Transactions'!$D$2:$D$13,'Transactions'!$C$2:$C$13,$A15,'Transactions'!$A$2:$A$13,"&gt;="&amp;M$4,'Transactions'!$A$2:$A$13,"&lt;"&amp;DATE(YEAR(M$4),MONTH(M$4)+1,1)))</f>
        <v/>
      </c>
      <c r="N15" s="34">
        <f>IF($A15="","",SUMIFS('Transactions'!$D$2:$D$13,'Transactions'!$C$2:$C$13,$A15,'Transactions'!$A$2:$A$13,"&gt;="&amp;N$4,'Transactions'!$A$2:$A$13,"&lt;"&amp;DATE(YEAR(N$4),MONTH(N$4)+1,1)))</f>
        <v/>
      </c>
      <c r="O15" s="37">
        <f>IF($A15="","",SUM(C15:N15))</f>
        <v/>
      </c>
      <c r="P15" s="42">
        <f>IF(AND($B15="Expense",N(+$O15)&gt;0),$O15+ROW()/1000000,0)</f>
        <v/>
      </c>
    </row>
    <row r="16">
      <c r="A16" s="41">
        <f>IF(INDEX(CatList,12)="","",INDEX(CatList,12))</f>
        <v/>
      </c>
      <c r="B16" s="41">
        <f>IF(INDEX(CatTypes,12)="","",INDEX(CatTypes,12))</f>
        <v/>
      </c>
      <c r="C16" s="34">
        <f>IF($A16="","",SUMIFS('Transactions'!$D$2:$D$13,'Transactions'!$C$2:$C$13,$A16,'Transactions'!$A$2:$A$13,"&gt;="&amp;C$4,'Transactions'!$A$2:$A$13,"&lt;"&amp;DATE(YEAR(C$4),MONTH(C$4)+1,1)))</f>
        <v/>
      </c>
      <c r="D16" s="34">
        <f>IF($A16="","",SUMIFS('Transactions'!$D$2:$D$13,'Transactions'!$C$2:$C$13,$A16,'Transactions'!$A$2:$A$13,"&gt;="&amp;D$4,'Transactions'!$A$2:$A$13,"&lt;"&amp;DATE(YEAR(D$4),MONTH(D$4)+1,1)))</f>
        <v/>
      </c>
      <c r="E16" s="34">
        <f>IF($A16="","",SUMIFS('Transactions'!$D$2:$D$13,'Transactions'!$C$2:$C$13,$A16,'Transactions'!$A$2:$A$13,"&gt;="&amp;E$4,'Transactions'!$A$2:$A$13,"&lt;"&amp;DATE(YEAR(E$4),MONTH(E$4)+1,1)))</f>
        <v/>
      </c>
      <c r="F16" s="34">
        <f>IF($A16="","",SUMIFS('Transactions'!$D$2:$D$13,'Transactions'!$C$2:$C$13,$A16,'Transactions'!$A$2:$A$13,"&gt;="&amp;F$4,'Transactions'!$A$2:$A$13,"&lt;"&amp;DATE(YEAR(F$4),MONTH(F$4)+1,1)))</f>
        <v/>
      </c>
      <c r="G16" s="34">
        <f>IF($A16="","",SUMIFS('Transactions'!$D$2:$D$13,'Transactions'!$C$2:$C$13,$A16,'Transactions'!$A$2:$A$13,"&gt;="&amp;G$4,'Transactions'!$A$2:$A$13,"&lt;"&amp;DATE(YEAR(G$4),MONTH(G$4)+1,1)))</f>
        <v/>
      </c>
      <c r="H16" s="34">
        <f>IF($A16="","",SUMIFS('Transactions'!$D$2:$D$13,'Transactions'!$C$2:$C$13,$A16,'Transactions'!$A$2:$A$13,"&gt;="&amp;H$4,'Transactions'!$A$2:$A$13,"&lt;"&amp;DATE(YEAR(H$4),MONTH(H$4)+1,1)))</f>
        <v/>
      </c>
      <c r="I16" s="34">
        <f>IF($A16="","",SUMIFS('Transactions'!$D$2:$D$13,'Transactions'!$C$2:$C$13,$A16,'Transactions'!$A$2:$A$13,"&gt;="&amp;I$4,'Transactions'!$A$2:$A$13,"&lt;"&amp;DATE(YEAR(I$4),MONTH(I$4)+1,1)))</f>
        <v/>
      </c>
      <c r="J16" s="34">
        <f>IF($A16="","",SUMIFS('Transactions'!$D$2:$D$13,'Transactions'!$C$2:$C$13,$A16,'Transactions'!$A$2:$A$13,"&gt;="&amp;J$4,'Transactions'!$A$2:$A$13,"&lt;"&amp;DATE(YEAR(J$4),MONTH(J$4)+1,1)))</f>
        <v/>
      </c>
      <c r="K16" s="34">
        <f>IF($A16="","",SUMIFS('Transactions'!$D$2:$D$13,'Transactions'!$C$2:$C$13,$A16,'Transactions'!$A$2:$A$13,"&gt;="&amp;K$4,'Transactions'!$A$2:$A$13,"&lt;"&amp;DATE(YEAR(K$4),MONTH(K$4)+1,1)))</f>
        <v/>
      </c>
      <c r="L16" s="34">
        <f>IF($A16="","",SUMIFS('Transactions'!$D$2:$D$13,'Transactions'!$C$2:$C$13,$A16,'Transactions'!$A$2:$A$13,"&gt;="&amp;L$4,'Transactions'!$A$2:$A$13,"&lt;"&amp;DATE(YEAR(L$4),MONTH(L$4)+1,1)))</f>
        <v/>
      </c>
      <c r="M16" s="34">
        <f>IF($A16="","",SUMIFS('Transactions'!$D$2:$D$13,'Transactions'!$C$2:$C$13,$A16,'Transactions'!$A$2:$A$13,"&gt;="&amp;M$4,'Transactions'!$A$2:$A$13,"&lt;"&amp;DATE(YEAR(M$4),MONTH(M$4)+1,1)))</f>
        <v/>
      </c>
      <c r="N16" s="34">
        <f>IF($A16="","",SUMIFS('Transactions'!$D$2:$D$13,'Transactions'!$C$2:$C$13,$A16,'Transactions'!$A$2:$A$13,"&gt;="&amp;N$4,'Transactions'!$A$2:$A$13,"&lt;"&amp;DATE(YEAR(N$4),MONTH(N$4)+1,1)))</f>
        <v/>
      </c>
      <c r="O16" s="37">
        <f>IF($A16="","",SUM(C16:N16))</f>
        <v/>
      </c>
      <c r="P16" s="42">
        <f>IF(AND($B16="Expense",N(+$O16)&gt;0),$O16+ROW()/1000000,0)</f>
        <v/>
      </c>
    </row>
    <row r="17">
      <c r="A17" s="41">
        <f>IF(INDEX(CatList,13)="","",INDEX(CatList,13))</f>
        <v/>
      </c>
      <c r="B17" s="41">
        <f>IF(INDEX(CatTypes,13)="","",INDEX(CatTypes,13))</f>
        <v/>
      </c>
      <c r="C17" s="34">
        <f>IF($A17="","",SUMIFS('Transactions'!$D$2:$D$13,'Transactions'!$C$2:$C$13,$A17,'Transactions'!$A$2:$A$13,"&gt;="&amp;C$4,'Transactions'!$A$2:$A$13,"&lt;"&amp;DATE(YEAR(C$4),MONTH(C$4)+1,1)))</f>
        <v/>
      </c>
      <c r="D17" s="34">
        <f>IF($A17="","",SUMIFS('Transactions'!$D$2:$D$13,'Transactions'!$C$2:$C$13,$A17,'Transactions'!$A$2:$A$13,"&gt;="&amp;D$4,'Transactions'!$A$2:$A$13,"&lt;"&amp;DATE(YEAR(D$4),MONTH(D$4)+1,1)))</f>
        <v/>
      </c>
      <c r="E17" s="34">
        <f>IF($A17="","",SUMIFS('Transactions'!$D$2:$D$13,'Transactions'!$C$2:$C$13,$A17,'Transactions'!$A$2:$A$13,"&gt;="&amp;E$4,'Transactions'!$A$2:$A$13,"&lt;"&amp;DATE(YEAR(E$4),MONTH(E$4)+1,1)))</f>
        <v/>
      </c>
      <c r="F17" s="34">
        <f>IF($A17="","",SUMIFS('Transactions'!$D$2:$D$13,'Transactions'!$C$2:$C$13,$A17,'Transactions'!$A$2:$A$13,"&gt;="&amp;F$4,'Transactions'!$A$2:$A$13,"&lt;"&amp;DATE(YEAR(F$4),MONTH(F$4)+1,1)))</f>
        <v/>
      </c>
      <c r="G17" s="34">
        <f>IF($A17="","",SUMIFS('Transactions'!$D$2:$D$13,'Transactions'!$C$2:$C$13,$A17,'Transactions'!$A$2:$A$13,"&gt;="&amp;G$4,'Transactions'!$A$2:$A$13,"&lt;"&amp;DATE(YEAR(G$4),MONTH(G$4)+1,1)))</f>
        <v/>
      </c>
      <c r="H17" s="34">
        <f>IF($A17="","",SUMIFS('Transactions'!$D$2:$D$13,'Transactions'!$C$2:$C$13,$A17,'Transactions'!$A$2:$A$13,"&gt;="&amp;H$4,'Transactions'!$A$2:$A$13,"&lt;"&amp;DATE(YEAR(H$4),MONTH(H$4)+1,1)))</f>
        <v/>
      </c>
      <c r="I17" s="34">
        <f>IF($A17="","",SUMIFS('Transactions'!$D$2:$D$13,'Transactions'!$C$2:$C$13,$A17,'Transactions'!$A$2:$A$13,"&gt;="&amp;I$4,'Transactions'!$A$2:$A$13,"&lt;"&amp;DATE(YEAR(I$4),MONTH(I$4)+1,1)))</f>
        <v/>
      </c>
      <c r="J17" s="34">
        <f>IF($A17="","",SUMIFS('Transactions'!$D$2:$D$13,'Transactions'!$C$2:$C$13,$A17,'Transactions'!$A$2:$A$13,"&gt;="&amp;J$4,'Transactions'!$A$2:$A$13,"&lt;"&amp;DATE(YEAR(J$4),MONTH(J$4)+1,1)))</f>
        <v/>
      </c>
      <c r="K17" s="34">
        <f>IF($A17="","",SUMIFS('Transactions'!$D$2:$D$13,'Transactions'!$C$2:$C$13,$A17,'Transactions'!$A$2:$A$13,"&gt;="&amp;K$4,'Transactions'!$A$2:$A$13,"&lt;"&amp;DATE(YEAR(K$4),MONTH(K$4)+1,1)))</f>
        <v/>
      </c>
      <c r="L17" s="34">
        <f>IF($A17="","",SUMIFS('Transactions'!$D$2:$D$13,'Transactions'!$C$2:$C$13,$A17,'Transactions'!$A$2:$A$13,"&gt;="&amp;L$4,'Transactions'!$A$2:$A$13,"&lt;"&amp;DATE(YEAR(L$4),MONTH(L$4)+1,1)))</f>
        <v/>
      </c>
      <c r="M17" s="34">
        <f>IF($A17="","",SUMIFS('Transactions'!$D$2:$D$13,'Transactions'!$C$2:$C$13,$A17,'Transactions'!$A$2:$A$13,"&gt;="&amp;M$4,'Transactions'!$A$2:$A$13,"&lt;"&amp;DATE(YEAR(M$4),MONTH(M$4)+1,1)))</f>
        <v/>
      </c>
      <c r="N17" s="34">
        <f>IF($A17="","",SUMIFS('Transactions'!$D$2:$D$13,'Transactions'!$C$2:$C$13,$A17,'Transactions'!$A$2:$A$13,"&gt;="&amp;N$4,'Transactions'!$A$2:$A$13,"&lt;"&amp;DATE(YEAR(N$4),MONTH(N$4)+1,1)))</f>
        <v/>
      </c>
      <c r="O17" s="37">
        <f>IF($A17="","",SUM(C17:N17))</f>
        <v/>
      </c>
      <c r="P17" s="42">
        <f>IF(AND($B17="Expense",N(+$O17)&gt;0),$O17+ROW()/1000000,0)</f>
        <v/>
      </c>
    </row>
    <row r="18">
      <c r="A18" s="41">
        <f>IF(INDEX(CatList,14)="","",INDEX(CatList,14))</f>
        <v/>
      </c>
      <c r="B18" s="41">
        <f>IF(INDEX(CatTypes,14)="","",INDEX(CatTypes,14))</f>
        <v/>
      </c>
      <c r="C18" s="34">
        <f>IF($A18="","",SUMIFS('Transactions'!$D$2:$D$13,'Transactions'!$C$2:$C$13,$A18,'Transactions'!$A$2:$A$13,"&gt;="&amp;C$4,'Transactions'!$A$2:$A$13,"&lt;"&amp;DATE(YEAR(C$4),MONTH(C$4)+1,1)))</f>
        <v/>
      </c>
      <c r="D18" s="34">
        <f>IF($A18="","",SUMIFS('Transactions'!$D$2:$D$13,'Transactions'!$C$2:$C$13,$A18,'Transactions'!$A$2:$A$13,"&gt;="&amp;D$4,'Transactions'!$A$2:$A$13,"&lt;"&amp;DATE(YEAR(D$4),MONTH(D$4)+1,1)))</f>
        <v/>
      </c>
      <c r="E18" s="34">
        <f>IF($A18="","",SUMIFS('Transactions'!$D$2:$D$13,'Transactions'!$C$2:$C$13,$A18,'Transactions'!$A$2:$A$13,"&gt;="&amp;E$4,'Transactions'!$A$2:$A$13,"&lt;"&amp;DATE(YEAR(E$4),MONTH(E$4)+1,1)))</f>
        <v/>
      </c>
      <c r="F18" s="34">
        <f>IF($A18="","",SUMIFS('Transactions'!$D$2:$D$13,'Transactions'!$C$2:$C$13,$A18,'Transactions'!$A$2:$A$13,"&gt;="&amp;F$4,'Transactions'!$A$2:$A$13,"&lt;"&amp;DATE(YEAR(F$4),MONTH(F$4)+1,1)))</f>
        <v/>
      </c>
      <c r="G18" s="34">
        <f>IF($A18="","",SUMIFS('Transactions'!$D$2:$D$13,'Transactions'!$C$2:$C$13,$A18,'Transactions'!$A$2:$A$13,"&gt;="&amp;G$4,'Transactions'!$A$2:$A$13,"&lt;"&amp;DATE(YEAR(G$4),MONTH(G$4)+1,1)))</f>
        <v/>
      </c>
      <c r="H18" s="34">
        <f>IF($A18="","",SUMIFS('Transactions'!$D$2:$D$13,'Transactions'!$C$2:$C$13,$A18,'Transactions'!$A$2:$A$13,"&gt;="&amp;H$4,'Transactions'!$A$2:$A$13,"&lt;"&amp;DATE(YEAR(H$4),MONTH(H$4)+1,1)))</f>
        <v/>
      </c>
      <c r="I18" s="34">
        <f>IF($A18="","",SUMIFS('Transactions'!$D$2:$D$13,'Transactions'!$C$2:$C$13,$A18,'Transactions'!$A$2:$A$13,"&gt;="&amp;I$4,'Transactions'!$A$2:$A$13,"&lt;"&amp;DATE(YEAR(I$4),MONTH(I$4)+1,1)))</f>
        <v/>
      </c>
      <c r="J18" s="34">
        <f>IF($A18="","",SUMIFS('Transactions'!$D$2:$D$13,'Transactions'!$C$2:$C$13,$A18,'Transactions'!$A$2:$A$13,"&gt;="&amp;J$4,'Transactions'!$A$2:$A$13,"&lt;"&amp;DATE(YEAR(J$4),MONTH(J$4)+1,1)))</f>
        <v/>
      </c>
      <c r="K18" s="34">
        <f>IF($A18="","",SUMIFS('Transactions'!$D$2:$D$13,'Transactions'!$C$2:$C$13,$A18,'Transactions'!$A$2:$A$13,"&gt;="&amp;K$4,'Transactions'!$A$2:$A$13,"&lt;"&amp;DATE(YEAR(K$4),MONTH(K$4)+1,1)))</f>
        <v/>
      </c>
      <c r="L18" s="34">
        <f>IF($A18="","",SUMIFS('Transactions'!$D$2:$D$13,'Transactions'!$C$2:$C$13,$A18,'Transactions'!$A$2:$A$13,"&gt;="&amp;L$4,'Transactions'!$A$2:$A$13,"&lt;"&amp;DATE(YEAR(L$4),MONTH(L$4)+1,1)))</f>
        <v/>
      </c>
      <c r="M18" s="34">
        <f>IF($A18="","",SUMIFS('Transactions'!$D$2:$D$13,'Transactions'!$C$2:$C$13,$A18,'Transactions'!$A$2:$A$13,"&gt;="&amp;M$4,'Transactions'!$A$2:$A$13,"&lt;"&amp;DATE(YEAR(M$4),MONTH(M$4)+1,1)))</f>
        <v/>
      </c>
      <c r="N18" s="34">
        <f>IF($A18="","",SUMIFS('Transactions'!$D$2:$D$13,'Transactions'!$C$2:$C$13,$A18,'Transactions'!$A$2:$A$13,"&gt;="&amp;N$4,'Transactions'!$A$2:$A$13,"&lt;"&amp;DATE(YEAR(N$4),MONTH(N$4)+1,1)))</f>
        <v/>
      </c>
      <c r="O18" s="37">
        <f>IF($A18="","",SUM(C18:N18))</f>
        <v/>
      </c>
      <c r="P18" s="42">
        <f>IF(AND($B18="Expense",N(+$O18)&gt;0),$O18+ROW()/1000000,0)</f>
        <v/>
      </c>
    </row>
    <row r="19">
      <c r="A19" s="41">
        <f>IF(INDEX(CatList,15)="","",INDEX(CatList,15))</f>
        <v/>
      </c>
      <c r="B19" s="41">
        <f>IF(INDEX(CatTypes,15)="","",INDEX(CatTypes,15))</f>
        <v/>
      </c>
      <c r="C19" s="34">
        <f>IF($A19="","",SUMIFS('Transactions'!$D$2:$D$13,'Transactions'!$C$2:$C$13,$A19,'Transactions'!$A$2:$A$13,"&gt;="&amp;C$4,'Transactions'!$A$2:$A$13,"&lt;"&amp;DATE(YEAR(C$4),MONTH(C$4)+1,1)))</f>
        <v/>
      </c>
      <c r="D19" s="34">
        <f>IF($A19="","",SUMIFS('Transactions'!$D$2:$D$13,'Transactions'!$C$2:$C$13,$A19,'Transactions'!$A$2:$A$13,"&gt;="&amp;D$4,'Transactions'!$A$2:$A$13,"&lt;"&amp;DATE(YEAR(D$4),MONTH(D$4)+1,1)))</f>
        <v/>
      </c>
      <c r="E19" s="34">
        <f>IF($A19="","",SUMIFS('Transactions'!$D$2:$D$13,'Transactions'!$C$2:$C$13,$A19,'Transactions'!$A$2:$A$13,"&gt;="&amp;E$4,'Transactions'!$A$2:$A$13,"&lt;"&amp;DATE(YEAR(E$4),MONTH(E$4)+1,1)))</f>
        <v/>
      </c>
      <c r="F19" s="34">
        <f>IF($A19="","",SUMIFS('Transactions'!$D$2:$D$13,'Transactions'!$C$2:$C$13,$A19,'Transactions'!$A$2:$A$13,"&gt;="&amp;F$4,'Transactions'!$A$2:$A$13,"&lt;"&amp;DATE(YEAR(F$4),MONTH(F$4)+1,1)))</f>
        <v/>
      </c>
      <c r="G19" s="34">
        <f>IF($A19="","",SUMIFS('Transactions'!$D$2:$D$13,'Transactions'!$C$2:$C$13,$A19,'Transactions'!$A$2:$A$13,"&gt;="&amp;G$4,'Transactions'!$A$2:$A$13,"&lt;"&amp;DATE(YEAR(G$4),MONTH(G$4)+1,1)))</f>
        <v/>
      </c>
      <c r="H19" s="34">
        <f>IF($A19="","",SUMIFS('Transactions'!$D$2:$D$13,'Transactions'!$C$2:$C$13,$A19,'Transactions'!$A$2:$A$13,"&gt;="&amp;H$4,'Transactions'!$A$2:$A$13,"&lt;"&amp;DATE(YEAR(H$4),MONTH(H$4)+1,1)))</f>
        <v/>
      </c>
      <c r="I19" s="34">
        <f>IF($A19="","",SUMIFS('Transactions'!$D$2:$D$13,'Transactions'!$C$2:$C$13,$A19,'Transactions'!$A$2:$A$13,"&gt;="&amp;I$4,'Transactions'!$A$2:$A$13,"&lt;"&amp;DATE(YEAR(I$4),MONTH(I$4)+1,1)))</f>
        <v/>
      </c>
      <c r="J19" s="34">
        <f>IF($A19="","",SUMIFS('Transactions'!$D$2:$D$13,'Transactions'!$C$2:$C$13,$A19,'Transactions'!$A$2:$A$13,"&gt;="&amp;J$4,'Transactions'!$A$2:$A$13,"&lt;"&amp;DATE(YEAR(J$4),MONTH(J$4)+1,1)))</f>
        <v/>
      </c>
      <c r="K19" s="34">
        <f>IF($A19="","",SUMIFS('Transactions'!$D$2:$D$13,'Transactions'!$C$2:$C$13,$A19,'Transactions'!$A$2:$A$13,"&gt;="&amp;K$4,'Transactions'!$A$2:$A$13,"&lt;"&amp;DATE(YEAR(K$4),MONTH(K$4)+1,1)))</f>
        <v/>
      </c>
      <c r="L19" s="34">
        <f>IF($A19="","",SUMIFS('Transactions'!$D$2:$D$13,'Transactions'!$C$2:$C$13,$A19,'Transactions'!$A$2:$A$13,"&gt;="&amp;L$4,'Transactions'!$A$2:$A$13,"&lt;"&amp;DATE(YEAR(L$4),MONTH(L$4)+1,1)))</f>
        <v/>
      </c>
      <c r="M19" s="34">
        <f>IF($A19="","",SUMIFS('Transactions'!$D$2:$D$13,'Transactions'!$C$2:$C$13,$A19,'Transactions'!$A$2:$A$13,"&gt;="&amp;M$4,'Transactions'!$A$2:$A$13,"&lt;"&amp;DATE(YEAR(M$4),MONTH(M$4)+1,1)))</f>
        <v/>
      </c>
      <c r="N19" s="34">
        <f>IF($A19="","",SUMIFS('Transactions'!$D$2:$D$13,'Transactions'!$C$2:$C$13,$A19,'Transactions'!$A$2:$A$13,"&gt;="&amp;N$4,'Transactions'!$A$2:$A$13,"&lt;"&amp;DATE(YEAR(N$4),MONTH(N$4)+1,1)))</f>
        <v/>
      </c>
      <c r="O19" s="37">
        <f>IF($A19="","",SUM(C19:N19))</f>
        <v/>
      </c>
      <c r="P19" s="42">
        <f>IF(AND($B19="Expense",N(+$O19)&gt;0),$O19+ROW()/1000000,0)</f>
        <v/>
      </c>
    </row>
    <row r="20">
      <c r="A20" s="41">
        <f>IF(INDEX(CatList,16)="","",INDEX(CatList,16))</f>
        <v/>
      </c>
      <c r="B20" s="41">
        <f>IF(INDEX(CatTypes,16)="","",INDEX(CatTypes,16))</f>
        <v/>
      </c>
      <c r="C20" s="34">
        <f>IF($A20="","",SUMIFS('Transactions'!$D$2:$D$13,'Transactions'!$C$2:$C$13,$A20,'Transactions'!$A$2:$A$13,"&gt;="&amp;C$4,'Transactions'!$A$2:$A$13,"&lt;"&amp;DATE(YEAR(C$4),MONTH(C$4)+1,1)))</f>
        <v/>
      </c>
      <c r="D20" s="34">
        <f>IF($A20="","",SUMIFS('Transactions'!$D$2:$D$13,'Transactions'!$C$2:$C$13,$A20,'Transactions'!$A$2:$A$13,"&gt;="&amp;D$4,'Transactions'!$A$2:$A$13,"&lt;"&amp;DATE(YEAR(D$4),MONTH(D$4)+1,1)))</f>
        <v/>
      </c>
      <c r="E20" s="34">
        <f>IF($A20="","",SUMIFS('Transactions'!$D$2:$D$13,'Transactions'!$C$2:$C$13,$A20,'Transactions'!$A$2:$A$13,"&gt;="&amp;E$4,'Transactions'!$A$2:$A$13,"&lt;"&amp;DATE(YEAR(E$4),MONTH(E$4)+1,1)))</f>
        <v/>
      </c>
      <c r="F20" s="34">
        <f>IF($A20="","",SUMIFS('Transactions'!$D$2:$D$13,'Transactions'!$C$2:$C$13,$A20,'Transactions'!$A$2:$A$13,"&gt;="&amp;F$4,'Transactions'!$A$2:$A$13,"&lt;"&amp;DATE(YEAR(F$4),MONTH(F$4)+1,1)))</f>
        <v/>
      </c>
      <c r="G20" s="34">
        <f>IF($A20="","",SUMIFS('Transactions'!$D$2:$D$13,'Transactions'!$C$2:$C$13,$A20,'Transactions'!$A$2:$A$13,"&gt;="&amp;G$4,'Transactions'!$A$2:$A$13,"&lt;"&amp;DATE(YEAR(G$4),MONTH(G$4)+1,1)))</f>
        <v/>
      </c>
      <c r="H20" s="34">
        <f>IF($A20="","",SUMIFS('Transactions'!$D$2:$D$13,'Transactions'!$C$2:$C$13,$A20,'Transactions'!$A$2:$A$13,"&gt;="&amp;H$4,'Transactions'!$A$2:$A$13,"&lt;"&amp;DATE(YEAR(H$4),MONTH(H$4)+1,1)))</f>
        <v/>
      </c>
      <c r="I20" s="34">
        <f>IF($A20="","",SUMIFS('Transactions'!$D$2:$D$13,'Transactions'!$C$2:$C$13,$A20,'Transactions'!$A$2:$A$13,"&gt;="&amp;I$4,'Transactions'!$A$2:$A$13,"&lt;"&amp;DATE(YEAR(I$4),MONTH(I$4)+1,1)))</f>
        <v/>
      </c>
      <c r="J20" s="34">
        <f>IF($A20="","",SUMIFS('Transactions'!$D$2:$D$13,'Transactions'!$C$2:$C$13,$A20,'Transactions'!$A$2:$A$13,"&gt;="&amp;J$4,'Transactions'!$A$2:$A$13,"&lt;"&amp;DATE(YEAR(J$4),MONTH(J$4)+1,1)))</f>
        <v/>
      </c>
      <c r="K20" s="34">
        <f>IF($A20="","",SUMIFS('Transactions'!$D$2:$D$13,'Transactions'!$C$2:$C$13,$A20,'Transactions'!$A$2:$A$13,"&gt;="&amp;K$4,'Transactions'!$A$2:$A$13,"&lt;"&amp;DATE(YEAR(K$4),MONTH(K$4)+1,1)))</f>
        <v/>
      </c>
      <c r="L20" s="34">
        <f>IF($A20="","",SUMIFS('Transactions'!$D$2:$D$13,'Transactions'!$C$2:$C$13,$A20,'Transactions'!$A$2:$A$13,"&gt;="&amp;L$4,'Transactions'!$A$2:$A$13,"&lt;"&amp;DATE(YEAR(L$4),MONTH(L$4)+1,1)))</f>
        <v/>
      </c>
      <c r="M20" s="34">
        <f>IF($A20="","",SUMIFS('Transactions'!$D$2:$D$13,'Transactions'!$C$2:$C$13,$A20,'Transactions'!$A$2:$A$13,"&gt;="&amp;M$4,'Transactions'!$A$2:$A$13,"&lt;"&amp;DATE(YEAR(M$4),MONTH(M$4)+1,1)))</f>
        <v/>
      </c>
      <c r="N20" s="34">
        <f>IF($A20="","",SUMIFS('Transactions'!$D$2:$D$13,'Transactions'!$C$2:$C$13,$A20,'Transactions'!$A$2:$A$13,"&gt;="&amp;N$4,'Transactions'!$A$2:$A$13,"&lt;"&amp;DATE(YEAR(N$4),MONTH(N$4)+1,1)))</f>
        <v/>
      </c>
      <c r="O20" s="37">
        <f>IF($A20="","",SUM(C20:N20))</f>
        <v/>
      </c>
      <c r="P20" s="42">
        <f>IF(AND($B20="Expense",N(+$O20)&gt;0),$O20+ROW()/1000000,0)</f>
        <v/>
      </c>
    </row>
    <row r="21">
      <c r="A21" s="41">
        <f>IF(INDEX(CatList,17)="","",INDEX(CatList,17))</f>
        <v/>
      </c>
      <c r="B21" s="41">
        <f>IF(INDEX(CatTypes,17)="","",INDEX(CatTypes,17))</f>
        <v/>
      </c>
      <c r="C21" s="34">
        <f>IF($A21="","",SUMIFS('Transactions'!$D$2:$D$13,'Transactions'!$C$2:$C$13,$A21,'Transactions'!$A$2:$A$13,"&gt;="&amp;C$4,'Transactions'!$A$2:$A$13,"&lt;"&amp;DATE(YEAR(C$4),MONTH(C$4)+1,1)))</f>
        <v/>
      </c>
      <c r="D21" s="34">
        <f>IF($A21="","",SUMIFS('Transactions'!$D$2:$D$13,'Transactions'!$C$2:$C$13,$A21,'Transactions'!$A$2:$A$13,"&gt;="&amp;D$4,'Transactions'!$A$2:$A$13,"&lt;"&amp;DATE(YEAR(D$4),MONTH(D$4)+1,1)))</f>
        <v/>
      </c>
      <c r="E21" s="34">
        <f>IF($A21="","",SUMIFS('Transactions'!$D$2:$D$13,'Transactions'!$C$2:$C$13,$A21,'Transactions'!$A$2:$A$13,"&gt;="&amp;E$4,'Transactions'!$A$2:$A$13,"&lt;"&amp;DATE(YEAR(E$4),MONTH(E$4)+1,1)))</f>
        <v/>
      </c>
      <c r="F21" s="34">
        <f>IF($A21="","",SUMIFS('Transactions'!$D$2:$D$13,'Transactions'!$C$2:$C$13,$A21,'Transactions'!$A$2:$A$13,"&gt;="&amp;F$4,'Transactions'!$A$2:$A$13,"&lt;"&amp;DATE(YEAR(F$4),MONTH(F$4)+1,1)))</f>
        <v/>
      </c>
      <c r="G21" s="34">
        <f>IF($A21="","",SUMIFS('Transactions'!$D$2:$D$13,'Transactions'!$C$2:$C$13,$A21,'Transactions'!$A$2:$A$13,"&gt;="&amp;G$4,'Transactions'!$A$2:$A$13,"&lt;"&amp;DATE(YEAR(G$4),MONTH(G$4)+1,1)))</f>
        <v/>
      </c>
      <c r="H21" s="34">
        <f>IF($A21="","",SUMIFS('Transactions'!$D$2:$D$13,'Transactions'!$C$2:$C$13,$A21,'Transactions'!$A$2:$A$13,"&gt;="&amp;H$4,'Transactions'!$A$2:$A$13,"&lt;"&amp;DATE(YEAR(H$4),MONTH(H$4)+1,1)))</f>
        <v/>
      </c>
      <c r="I21" s="34">
        <f>IF($A21="","",SUMIFS('Transactions'!$D$2:$D$13,'Transactions'!$C$2:$C$13,$A21,'Transactions'!$A$2:$A$13,"&gt;="&amp;I$4,'Transactions'!$A$2:$A$13,"&lt;"&amp;DATE(YEAR(I$4),MONTH(I$4)+1,1)))</f>
        <v/>
      </c>
      <c r="J21" s="34">
        <f>IF($A21="","",SUMIFS('Transactions'!$D$2:$D$13,'Transactions'!$C$2:$C$13,$A21,'Transactions'!$A$2:$A$13,"&gt;="&amp;J$4,'Transactions'!$A$2:$A$13,"&lt;"&amp;DATE(YEAR(J$4),MONTH(J$4)+1,1)))</f>
        <v/>
      </c>
      <c r="K21" s="34">
        <f>IF($A21="","",SUMIFS('Transactions'!$D$2:$D$13,'Transactions'!$C$2:$C$13,$A21,'Transactions'!$A$2:$A$13,"&gt;="&amp;K$4,'Transactions'!$A$2:$A$13,"&lt;"&amp;DATE(YEAR(K$4),MONTH(K$4)+1,1)))</f>
        <v/>
      </c>
      <c r="L21" s="34">
        <f>IF($A21="","",SUMIFS('Transactions'!$D$2:$D$13,'Transactions'!$C$2:$C$13,$A21,'Transactions'!$A$2:$A$13,"&gt;="&amp;L$4,'Transactions'!$A$2:$A$13,"&lt;"&amp;DATE(YEAR(L$4),MONTH(L$4)+1,1)))</f>
        <v/>
      </c>
      <c r="M21" s="34">
        <f>IF($A21="","",SUMIFS('Transactions'!$D$2:$D$13,'Transactions'!$C$2:$C$13,$A21,'Transactions'!$A$2:$A$13,"&gt;="&amp;M$4,'Transactions'!$A$2:$A$13,"&lt;"&amp;DATE(YEAR(M$4),MONTH(M$4)+1,1)))</f>
        <v/>
      </c>
      <c r="N21" s="34">
        <f>IF($A21="","",SUMIFS('Transactions'!$D$2:$D$13,'Transactions'!$C$2:$C$13,$A21,'Transactions'!$A$2:$A$13,"&gt;="&amp;N$4,'Transactions'!$A$2:$A$13,"&lt;"&amp;DATE(YEAR(N$4),MONTH(N$4)+1,1)))</f>
        <v/>
      </c>
      <c r="O21" s="37">
        <f>IF($A21="","",SUM(C21:N21))</f>
        <v/>
      </c>
      <c r="P21" s="42">
        <f>IF(AND($B21="Expense",N(+$O21)&gt;0),$O21+ROW()/1000000,0)</f>
        <v/>
      </c>
    </row>
    <row r="22">
      <c r="A22" s="41">
        <f>IF(INDEX(CatList,18)="","",INDEX(CatList,18))</f>
        <v/>
      </c>
      <c r="B22" s="41">
        <f>IF(INDEX(CatTypes,18)="","",INDEX(CatTypes,18))</f>
        <v/>
      </c>
      <c r="C22" s="34">
        <f>IF($A22="","",SUMIFS('Transactions'!$D$2:$D$13,'Transactions'!$C$2:$C$13,$A22,'Transactions'!$A$2:$A$13,"&gt;="&amp;C$4,'Transactions'!$A$2:$A$13,"&lt;"&amp;DATE(YEAR(C$4),MONTH(C$4)+1,1)))</f>
        <v/>
      </c>
      <c r="D22" s="34">
        <f>IF($A22="","",SUMIFS('Transactions'!$D$2:$D$13,'Transactions'!$C$2:$C$13,$A22,'Transactions'!$A$2:$A$13,"&gt;="&amp;D$4,'Transactions'!$A$2:$A$13,"&lt;"&amp;DATE(YEAR(D$4),MONTH(D$4)+1,1)))</f>
        <v/>
      </c>
      <c r="E22" s="34">
        <f>IF($A22="","",SUMIFS('Transactions'!$D$2:$D$13,'Transactions'!$C$2:$C$13,$A22,'Transactions'!$A$2:$A$13,"&gt;="&amp;E$4,'Transactions'!$A$2:$A$13,"&lt;"&amp;DATE(YEAR(E$4),MONTH(E$4)+1,1)))</f>
        <v/>
      </c>
      <c r="F22" s="34">
        <f>IF($A22="","",SUMIFS('Transactions'!$D$2:$D$13,'Transactions'!$C$2:$C$13,$A22,'Transactions'!$A$2:$A$13,"&gt;="&amp;F$4,'Transactions'!$A$2:$A$13,"&lt;"&amp;DATE(YEAR(F$4),MONTH(F$4)+1,1)))</f>
        <v/>
      </c>
      <c r="G22" s="34">
        <f>IF($A22="","",SUMIFS('Transactions'!$D$2:$D$13,'Transactions'!$C$2:$C$13,$A22,'Transactions'!$A$2:$A$13,"&gt;="&amp;G$4,'Transactions'!$A$2:$A$13,"&lt;"&amp;DATE(YEAR(G$4),MONTH(G$4)+1,1)))</f>
        <v/>
      </c>
      <c r="H22" s="34">
        <f>IF($A22="","",SUMIFS('Transactions'!$D$2:$D$13,'Transactions'!$C$2:$C$13,$A22,'Transactions'!$A$2:$A$13,"&gt;="&amp;H$4,'Transactions'!$A$2:$A$13,"&lt;"&amp;DATE(YEAR(H$4),MONTH(H$4)+1,1)))</f>
        <v/>
      </c>
      <c r="I22" s="34">
        <f>IF($A22="","",SUMIFS('Transactions'!$D$2:$D$13,'Transactions'!$C$2:$C$13,$A22,'Transactions'!$A$2:$A$13,"&gt;="&amp;I$4,'Transactions'!$A$2:$A$13,"&lt;"&amp;DATE(YEAR(I$4),MONTH(I$4)+1,1)))</f>
        <v/>
      </c>
      <c r="J22" s="34">
        <f>IF($A22="","",SUMIFS('Transactions'!$D$2:$D$13,'Transactions'!$C$2:$C$13,$A22,'Transactions'!$A$2:$A$13,"&gt;="&amp;J$4,'Transactions'!$A$2:$A$13,"&lt;"&amp;DATE(YEAR(J$4),MONTH(J$4)+1,1)))</f>
        <v/>
      </c>
      <c r="K22" s="34">
        <f>IF($A22="","",SUMIFS('Transactions'!$D$2:$D$13,'Transactions'!$C$2:$C$13,$A22,'Transactions'!$A$2:$A$13,"&gt;="&amp;K$4,'Transactions'!$A$2:$A$13,"&lt;"&amp;DATE(YEAR(K$4),MONTH(K$4)+1,1)))</f>
        <v/>
      </c>
      <c r="L22" s="34">
        <f>IF($A22="","",SUMIFS('Transactions'!$D$2:$D$13,'Transactions'!$C$2:$C$13,$A22,'Transactions'!$A$2:$A$13,"&gt;="&amp;L$4,'Transactions'!$A$2:$A$13,"&lt;"&amp;DATE(YEAR(L$4),MONTH(L$4)+1,1)))</f>
        <v/>
      </c>
      <c r="M22" s="34">
        <f>IF($A22="","",SUMIFS('Transactions'!$D$2:$D$13,'Transactions'!$C$2:$C$13,$A22,'Transactions'!$A$2:$A$13,"&gt;="&amp;M$4,'Transactions'!$A$2:$A$13,"&lt;"&amp;DATE(YEAR(M$4),MONTH(M$4)+1,1)))</f>
        <v/>
      </c>
      <c r="N22" s="34">
        <f>IF($A22="","",SUMIFS('Transactions'!$D$2:$D$13,'Transactions'!$C$2:$C$13,$A22,'Transactions'!$A$2:$A$13,"&gt;="&amp;N$4,'Transactions'!$A$2:$A$13,"&lt;"&amp;DATE(YEAR(N$4),MONTH(N$4)+1,1)))</f>
        <v/>
      </c>
      <c r="O22" s="37">
        <f>IF($A22="","",SUM(C22:N22))</f>
        <v/>
      </c>
      <c r="P22" s="42">
        <f>IF(AND($B22="Expense",N(+$O22)&gt;0),$O22+ROW()/1000000,0)</f>
        <v/>
      </c>
    </row>
    <row r="23">
      <c r="A23" s="41">
        <f>IF(INDEX(CatList,19)="","",INDEX(CatList,19))</f>
        <v/>
      </c>
      <c r="B23" s="41">
        <f>IF(INDEX(CatTypes,19)="","",INDEX(CatTypes,19))</f>
        <v/>
      </c>
      <c r="C23" s="34">
        <f>IF($A23="","",SUMIFS('Transactions'!$D$2:$D$13,'Transactions'!$C$2:$C$13,$A23,'Transactions'!$A$2:$A$13,"&gt;="&amp;C$4,'Transactions'!$A$2:$A$13,"&lt;"&amp;DATE(YEAR(C$4),MONTH(C$4)+1,1)))</f>
        <v/>
      </c>
      <c r="D23" s="34">
        <f>IF($A23="","",SUMIFS('Transactions'!$D$2:$D$13,'Transactions'!$C$2:$C$13,$A23,'Transactions'!$A$2:$A$13,"&gt;="&amp;D$4,'Transactions'!$A$2:$A$13,"&lt;"&amp;DATE(YEAR(D$4),MONTH(D$4)+1,1)))</f>
        <v/>
      </c>
      <c r="E23" s="34">
        <f>IF($A23="","",SUMIFS('Transactions'!$D$2:$D$13,'Transactions'!$C$2:$C$13,$A23,'Transactions'!$A$2:$A$13,"&gt;="&amp;E$4,'Transactions'!$A$2:$A$13,"&lt;"&amp;DATE(YEAR(E$4),MONTH(E$4)+1,1)))</f>
        <v/>
      </c>
      <c r="F23" s="34">
        <f>IF($A23="","",SUMIFS('Transactions'!$D$2:$D$13,'Transactions'!$C$2:$C$13,$A23,'Transactions'!$A$2:$A$13,"&gt;="&amp;F$4,'Transactions'!$A$2:$A$13,"&lt;"&amp;DATE(YEAR(F$4),MONTH(F$4)+1,1)))</f>
        <v/>
      </c>
      <c r="G23" s="34">
        <f>IF($A23="","",SUMIFS('Transactions'!$D$2:$D$13,'Transactions'!$C$2:$C$13,$A23,'Transactions'!$A$2:$A$13,"&gt;="&amp;G$4,'Transactions'!$A$2:$A$13,"&lt;"&amp;DATE(YEAR(G$4),MONTH(G$4)+1,1)))</f>
        <v/>
      </c>
      <c r="H23" s="34">
        <f>IF($A23="","",SUMIFS('Transactions'!$D$2:$D$13,'Transactions'!$C$2:$C$13,$A23,'Transactions'!$A$2:$A$13,"&gt;="&amp;H$4,'Transactions'!$A$2:$A$13,"&lt;"&amp;DATE(YEAR(H$4),MONTH(H$4)+1,1)))</f>
        <v/>
      </c>
      <c r="I23" s="34">
        <f>IF($A23="","",SUMIFS('Transactions'!$D$2:$D$13,'Transactions'!$C$2:$C$13,$A23,'Transactions'!$A$2:$A$13,"&gt;="&amp;I$4,'Transactions'!$A$2:$A$13,"&lt;"&amp;DATE(YEAR(I$4),MONTH(I$4)+1,1)))</f>
        <v/>
      </c>
      <c r="J23" s="34">
        <f>IF($A23="","",SUMIFS('Transactions'!$D$2:$D$13,'Transactions'!$C$2:$C$13,$A23,'Transactions'!$A$2:$A$13,"&gt;="&amp;J$4,'Transactions'!$A$2:$A$13,"&lt;"&amp;DATE(YEAR(J$4),MONTH(J$4)+1,1)))</f>
        <v/>
      </c>
      <c r="K23" s="34">
        <f>IF($A23="","",SUMIFS('Transactions'!$D$2:$D$13,'Transactions'!$C$2:$C$13,$A23,'Transactions'!$A$2:$A$13,"&gt;="&amp;K$4,'Transactions'!$A$2:$A$13,"&lt;"&amp;DATE(YEAR(K$4),MONTH(K$4)+1,1)))</f>
        <v/>
      </c>
      <c r="L23" s="34">
        <f>IF($A23="","",SUMIFS('Transactions'!$D$2:$D$13,'Transactions'!$C$2:$C$13,$A23,'Transactions'!$A$2:$A$13,"&gt;="&amp;L$4,'Transactions'!$A$2:$A$13,"&lt;"&amp;DATE(YEAR(L$4),MONTH(L$4)+1,1)))</f>
        <v/>
      </c>
      <c r="M23" s="34">
        <f>IF($A23="","",SUMIFS('Transactions'!$D$2:$D$13,'Transactions'!$C$2:$C$13,$A23,'Transactions'!$A$2:$A$13,"&gt;="&amp;M$4,'Transactions'!$A$2:$A$13,"&lt;"&amp;DATE(YEAR(M$4),MONTH(M$4)+1,1)))</f>
        <v/>
      </c>
      <c r="N23" s="34">
        <f>IF($A23="","",SUMIFS('Transactions'!$D$2:$D$13,'Transactions'!$C$2:$C$13,$A23,'Transactions'!$A$2:$A$13,"&gt;="&amp;N$4,'Transactions'!$A$2:$A$13,"&lt;"&amp;DATE(YEAR(N$4),MONTH(N$4)+1,1)))</f>
        <v/>
      </c>
      <c r="O23" s="37">
        <f>IF($A23="","",SUM(C23:N23))</f>
        <v/>
      </c>
      <c r="P23" s="42">
        <f>IF(AND($B23="Expense",N(+$O23)&gt;0),$O23+ROW()/1000000,0)</f>
        <v/>
      </c>
    </row>
    <row r="24">
      <c r="A24" s="41">
        <f>IF(INDEX(CatList,20)="","",INDEX(CatList,20))</f>
        <v/>
      </c>
      <c r="B24" s="41">
        <f>IF(INDEX(CatTypes,20)="","",INDEX(CatTypes,20))</f>
        <v/>
      </c>
      <c r="C24" s="34">
        <f>IF($A24="","",SUMIFS('Transactions'!$D$2:$D$13,'Transactions'!$C$2:$C$13,$A24,'Transactions'!$A$2:$A$13,"&gt;="&amp;C$4,'Transactions'!$A$2:$A$13,"&lt;"&amp;DATE(YEAR(C$4),MONTH(C$4)+1,1)))</f>
        <v/>
      </c>
      <c r="D24" s="34">
        <f>IF($A24="","",SUMIFS('Transactions'!$D$2:$D$13,'Transactions'!$C$2:$C$13,$A24,'Transactions'!$A$2:$A$13,"&gt;="&amp;D$4,'Transactions'!$A$2:$A$13,"&lt;"&amp;DATE(YEAR(D$4),MONTH(D$4)+1,1)))</f>
        <v/>
      </c>
      <c r="E24" s="34">
        <f>IF($A24="","",SUMIFS('Transactions'!$D$2:$D$13,'Transactions'!$C$2:$C$13,$A24,'Transactions'!$A$2:$A$13,"&gt;="&amp;E$4,'Transactions'!$A$2:$A$13,"&lt;"&amp;DATE(YEAR(E$4),MONTH(E$4)+1,1)))</f>
        <v/>
      </c>
      <c r="F24" s="34">
        <f>IF($A24="","",SUMIFS('Transactions'!$D$2:$D$13,'Transactions'!$C$2:$C$13,$A24,'Transactions'!$A$2:$A$13,"&gt;="&amp;F$4,'Transactions'!$A$2:$A$13,"&lt;"&amp;DATE(YEAR(F$4),MONTH(F$4)+1,1)))</f>
        <v/>
      </c>
      <c r="G24" s="34">
        <f>IF($A24="","",SUMIFS('Transactions'!$D$2:$D$13,'Transactions'!$C$2:$C$13,$A24,'Transactions'!$A$2:$A$13,"&gt;="&amp;G$4,'Transactions'!$A$2:$A$13,"&lt;"&amp;DATE(YEAR(G$4),MONTH(G$4)+1,1)))</f>
        <v/>
      </c>
      <c r="H24" s="34">
        <f>IF($A24="","",SUMIFS('Transactions'!$D$2:$D$13,'Transactions'!$C$2:$C$13,$A24,'Transactions'!$A$2:$A$13,"&gt;="&amp;H$4,'Transactions'!$A$2:$A$13,"&lt;"&amp;DATE(YEAR(H$4),MONTH(H$4)+1,1)))</f>
        <v/>
      </c>
      <c r="I24" s="34">
        <f>IF($A24="","",SUMIFS('Transactions'!$D$2:$D$13,'Transactions'!$C$2:$C$13,$A24,'Transactions'!$A$2:$A$13,"&gt;="&amp;I$4,'Transactions'!$A$2:$A$13,"&lt;"&amp;DATE(YEAR(I$4),MONTH(I$4)+1,1)))</f>
        <v/>
      </c>
      <c r="J24" s="34">
        <f>IF($A24="","",SUMIFS('Transactions'!$D$2:$D$13,'Transactions'!$C$2:$C$13,$A24,'Transactions'!$A$2:$A$13,"&gt;="&amp;J$4,'Transactions'!$A$2:$A$13,"&lt;"&amp;DATE(YEAR(J$4),MONTH(J$4)+1,1)))</f>
        <v/>
      </c>
      <c r="K24" s="34">
        <f>IF($A24="","",SUMIFS('Transactions'!$D$2:$D$13,'Transactions'!$C$2:$C$13,$A24,'Transactions'!$A$2:$A$13,"&gt;="&amp;K$4,'Transactions'!$A$2:$A$13,"&lt;"&amp;DATE(YEAR(K$4),MONTH(K$4)+1,1)))</f>
        <v/>
      </c>
      <c r="L24" s="34">
        <f>IF($A24="","",SUMIFS('Transactions'!$D$2:$D$13,'Transactions'!$C$2:$C$13,$A24,'Transactions'!$A$2:$A$13,"&gt;="&amp;L$4,'Transactions'!$A$2:$A$13,"&lt;"&amp;DATE(YEAR(L$4),MONTH(L$4)+1,1)))</f>
        <v/>
      </c>
      <c r="M24" s="34">
        <f>IF($A24="","",SUMIFS('Transactions'!$D$2:$D$13,'Transactions'!$C$2:$C$13,$A24,'Transactions'!$A$2:$A$13,"&gt;="&amp;M$4,'Transactions'!$A$2:$A$13,"&lt;"&amp;DATE(YEAR(M$4),MONTH(M$4)+1,1)))</f>
        <v/>
      </c>
      <c r="N24" s="34">
        <f>IF($A24="","",SUMIFS('Transactions'!$D$2:$D$13,'Transactions'!$C$2:$C$13,$A24,'Transactions'!$A$2:$A$13,"&gt;="&amp;N$4,'Transactions'!$A$2:$A$13,"&lt;"&amp;DATE(YEAR(N$4),MONTH(N$4)+1,1)))</f>
        <v/>
      </c>
      <c r="O24" s="37">
        <f>IF($A24="","",SUM(C24:N24))</f>
        <v/>
      </c>
      <c r="P24" s="42">
        <f>IF(AND($B24="Expense",N(+$O24)&gt;0),$O24+ROW()/1000000,0)</f>
        <v/>
      </c>
    </row>
    <row r="25">
      <c r="A25" s="41">
        <f>IF(INDEX(CatList,21)="","",INDEX(CatList,21))</f>
        <v/>
      </c>
      <c r="B25" s="41">
        <f>IF(INDEX(CatTypes,21)="","",INDEX(CatTypes,21))</f>
        <v/>
      </c>
      <c r="C25" s="34">
        <f>IF($A25="","",SUMIFS('Transactions'!$D$2:$D$13,'Transactions'!$C$2:$C$13,$A25,'Transactions'!$A$2:$A$13,"&gt;="&amp;C$4,'Transactions'!$A$2:$A$13,"&lt;"&amp;DATE(YEAR(C$4),MONTH(C$4)+1,1)))</f>
        <v/>
      </c>
      <c r="D25" s="34">
        <f>IF($A25="","",SUMIFS('Transactions'!$D$2:$D$13,'Transactions'!$C$2:$C$13,$A25,'Transactions'!$A$2:$A$13,"&gt;="&amp;D$4,'Transactions'!$A$2:$A$13,"&lt;"&amp;DATE(YEAR(D$4),MONTH(D$4)+1,1)))</f>
        <v/>
      </c>
      <c r="E25" s="34">
        <f>IF($A25="","",SUMIFS('Transactions'!$D$2:$D$13,'Transactions'!$C$2:$C$13,$A25,'Transactions'!$A$2:$A$13,"&gt;="&amp;E$4,'Transactions'!$A$2:$A$13,"&lt;"&amp;DATE(YEAR(E$4),MONTH(E$4)+1,1)))</f>
        <v/>
      </c>
      <c r="F25" s="34">
        <f>IF($A25="","",SUMIFS('Transactions'!$D$2:$D$13,'Transactions'!$C$2:$C$13,$A25,'Transactions'!$A$2:$A$13,"&gt;="&amp;F$4,'Transactions'!$A$2:$A$13,"&lt;"&amp;DATE(YEAR(F$4),MONTH(F$4)+1,1)))</f>
        <v/>
      </c>
      <c r="G25" s="34">
        <f>IF($A25="","",SUMIFS('Transactions'!$D$2:$D$13,'Transactions'!$C$2:$C$13,$A25,'Transactions'!$A$2:$A$13,"&gt;="&amp;G$4,'Transactions'!$A$2:$A$13,"&lt;"&amp;DATE(YEAR(G$4),MONTH(G$4)+1,1)))</f>
        <v/>
      </c>
      <c r="H25" s="34">
        <f>IF($A25="","",SUMIFS('Transactions'!$D$2:$D$13,'Transactions'!$C$2:$C$13,$A25,'Transactions'!$A$2:$A$13,"&gt;="&amp;H$4,'Transactions'!$A$2:$A$13,"&lt;"&amp;DATE(YEAR(H$4),MONTH(H$4)+1,1)))</f>
        <v/>
      </c>
      <c r="I25" s="34">
        <f>IF($A25="","",SUMIFS('Transactions'!$D$2:$D$13,'Transactions'!$C$2:$C$13,$A25,'Transactions'!$A$2:$A$13,"&gt;="&amp;I$4,'Transactions'!$A$2:$A$13,"&lt;"&amp;DATE(YEAR(I$4),MONTH(I$4)+1,1)))</f>
        <v/>
      </c>
      <c r="J25" s="34">
        <f>IF($A25="","",SUMIFS('Transactions'!$D$2:$D$13,'Transactions'!$C$2:$C$13,$A25,'Transactions'!$A$2:$A$13,"&gt;="&amp;J$4,'Transactions'!$A$2:$A$13,"&lt;"&amp;DATE(YEAR(J$4),MONTH(J$4)+1,1)))</f>
        <v/>
      </c>
      <c r="K25" s="34">
        <f>IF($A25="","",SUMIFS('Transactions'!$D$2:$D$13,'Transactions'!$C$2:$C$13,$A25,'Transactions'!$A$2:$A$13,"&gt;="&amp;K$4,'Transactions'!$A$2:$A$13,"&lt;"&amp;DATE(YEAR(K$4),MONTH(K$4)+1,1)))</f>
        <v/>
      </c>
      <c r="L25" s="34">
        <f>IF($A25="","",SUMIFS('Transactions'!$D$2:$D$13,'Transactions'!$C$2:$C$13,$A25,'Transactions'!$A$2:$A$13,"&gt;="&amp;L$4,'Transactions'!$A$2:$A$13,"&lt;"&amp;DATE(YEAR(L$4),MONTH(L$4)+1,1)))</f>
        <v/>
      </c>
      <c r="M25" s="34">
        <f>IF($A25="","",SUMIFS('Transactions'!$D$2:$D$13,'Transactions'!$C$2:$C$13,$A25,'Transactions'!$A$2:$A$13,"&gt;="&amp;M$4,'Transactions'!$A$2:$A$13,"&lt;"&amp;DATE(YEAR(M$4),MONTH(M$4)+1,1)))</f>
        <v/>
      </c>
      <c r="N25" s="34">
        <f>IF($A25="","",SUMIFS('Transactions'!$D$2:$D$13,'Transactions'!$C$2:$C$13,$A25,'Transactions'!$A$2:$A$13,"&gt;="&amp;N$4,'Transactions'!$A$2:$A$13,"&lt;"&amp;DATE(YEAR(N$4),MONTH(N$4)+1,1)))</f>
        <v/>
      </c>
      <c r="O25" s="37">
        <f>IF($A25="","",SUM(C25:N25))</f>
        <v/>
      </c>
      <c r="P25" s="42">
        <f>IF(AND($B25="Expense",N(+$O25)&gt;0),$O25+ROW()/1000000,0)</f>
        <v/>
      </c>
    </row>
    <row r="26">
      <c r="A26" s="41">
        <f>IF(INDEX(CatList,22)="","",INDEX(CatList,22))</f>
        <v/>
      </c>
      <c r="B26" s="41">
        <f>IF(INDEX(CatTypes,22)="","",INDEX(CatTypes,22))</f>
        <v/>
      </c>
      <c r="C26" s="34">
        <f>IF($A26="","",SUMIFS('Transactions'!$D$2:$D$13,'Transactions'!$C$2:$C$13,$A26,'Transactions'!$A$2:$A$13,"&gt;="&amp;C$4,'Transactions'!$A$2:$A$13,"&lt;"&amp;DATE(YEAR(C$4),MONTH(C$4)+1,1)))</f>
        <v/>
      </c>
      <c r="D26" s="34">
        <f>IF($A26="","",SUMIFS('Transactions'!$D$2:$D$13,'Transactions'!$C$2:$C$13,$A26,'Transactions'!$A$2:$A$13,"&gt;="&amp;D$4,'Transactions'!$A$2:$A$13,"&lt;"&amp;DATE(YEAR(D$4),MONTH(D$4)+1,1)))</f>
        <v/>
      </c>
      <c r="E26" s="34">
        <f>IF($A26="","",SUMIFS('Transactions'!$D$2:$D$13,'Transactions'!$C$2:$C$13,$A26,'Transactions'!$A$2:$A$13,"&gt;="&amp;E$4,'Transactions'!$A$2:$A$13,"&lt;"&amp;DATE(YEAR(E$4),MONTH(E$4)+1,1)))</f>
        <v/>
      </c>
      <c r="F26" s="34">
        <f>IF($A26="","",SUMIFS('Transactions'!$D$2:$D$13,'Transactions'!$C$2:$C$13,$A26,'Transactions'!$A$2:$A$13,"&gt;="&amp;F$4,'Transactions'!$A$2:$A$13,"&lt;"&amp;DATE(YEAR(F$4),MONTH(F$4)+1,1)))</f>
        <v/>
      </c>
      <c r="G26" s="34">
        <f>IF($A26="","",SUMIFS('Transactions'!$D$2:$D$13,'Transactions'!$C$2:$C$13,$A26,'Transactions'!$A$2:$A$13,"&gt;="&amp;G$4,'Transactions'!$A$2:$A$13,"&lt;"&amp;DATE(YEAR(G$4),MONTH(G$4)+1,1)))</f>
        <v/>
      </c>
      <c r="H26" s="34">
        <f>IF($A26="","",SUMIFS('Transactions'!$D$2:$D$13,'Transactions'!$C$2:$C$13,$A26,'Transactions'!$A$2:$A$13,"&gt;="&amp;H$4,'Transactions'!$A$2:$A$13,"&lt;"&amp;DATE(YEAR(H$4),MONTH(H$4)+1,1)))</f>
        <v/>
      </c>
      <c r="I26" s="34">
        <f>IF($A26="","",SUMIFS('Transactions'!$D$2:$D$13,'Transactions'!$C$2:$C$13,$A26,'Transactions'!$A$2:$A$13,"&gt;="&amp;I$4,'Transactions'!$A$2:$A$13,"&lt;"&amp;DATE(YEAR(I$4),MONTH(I$4)+1,1)))</f>
        <v/>
      </c>
      <c r="J26" s="34">
        <f>IF($A26="","",SUMIFS('Transactions'!$D$2:$D$13,'Transactions'!$C$2:$C$13,$A26,'Transactions'!$A$2:$A$13,"&gt;="&amp;J$4,'Transactions'!$A$2:$A$13,"&lt;"&amp;DATE(YEAR(J$4),MONTH(J$4)+1,1)))</f>
        <v/>
      </c>
      <c r="K26" s="34">
        <f>IF($A26="","",SUMIFS('Transactions'!$D$2:$D$13,'Transactions'!$C$2:$C$13,$A26,'Transactions'!$A$2:$A$13,"&gt;="&amp;K$4,'Transactions'!$A$2:$A$13,"&lt;"&amp;DATE(YEAR(K$4),MONTH(K$4)+1,1)))</f>
        <v/>
      </c>
      <c r="L26" s="34">
        <f>IF($A26="","",SUMIFS('Transactions'!$D$2:$D$13,'Transactions'!$C$2:$C$13,$A26,'Transactions'!$A$2:$A$13,"&gt;="&amp;L$4,'Transactions'!$A$2:$A$13,"&lt;"&amp;DATE(YEAR(L$4),MONTH(L$4)+1,1)))</f>
        <v/>
      </c>
      <c r="M26" s="34">
        <f>IF($A26="","",SUMIFS('Transactions'!$D$2:$D$13,'Transactions'!$C$2:$C$13,$A26,'Transactions'!$A$2:$A$13,"&gt;="&amp;M$4,'Transactions'!$A$2:$A$13,"&lt;"&amp;DATE(YEAR(M$4),MONTH(M$4)+1,1)))</f>
        <v/>
      </c>
      <c r="N26" s="34">
        <f>IF($A26="","",SUMIFS('Transactions'!$D$2:$D$13,'Transactions'!$C$2:$C$13,$A26,'Transactions'!$A$2:$A$13,"&gt;="&amp;N$4,'Transactions'!$A$2:$A$13,"&lt;"&amp;DATE(YEAR(N$4),MONTH(N$4)+1,1)))</f>
        <v/>
      </c>
      <c r="O26" s="37">
        <f>IF($A26="","",SUM(C26:N26))</f>
        <v/>
      </c>
      <c r="P26" s="42">
        <f>IF(AND($B26="Expense",N(+$O26)&gt;0),$O26+ROW()/1000000,0)</f>
        <v/>
      </c>
    </row>
    <row r="27">
      <c r="A27" s="41">
        <f>IF(INDEX(CatList,23)="","",INDEX(CatList,23))</f>
        <v/>
      </c>
      <c r="B27" s="41">
        <f>IF(INDEX(CatTypes,23)="","",INDEX(CatTypes,23))</f>
        <v/>
      </c>
      <c r="C27" s="34">
        <f>IF($A27="","",SUMIFS('Transactions'!$D$2:$D$13,'Transactions'!$C$2:$C$13,$A27,'Transactions'!$A$2:$A$13,"&gt;="&amp;C$4,'Transactions'!$A$2:$A$13,"&lt;"&amp;DATE(YEAR(C$4),MONTH(C$4)+1,1)))</f>
        <v/>
      </c>
      <c r="D27" s="34">
        <f>IF($A27="","",SUMIFS('Transactions'!$D$2:$D$13,'Transactions'!$C$2:$C$13,$A27,'Transactions'!$A$2:$A$13,"&gt;="&amp;D$4,'Transactions'!$A$2:$A$13,"&lt;"&amp;DATE(YEAR(D$4),MONTH(D$4)+1,1)))</f>
        <v/>
      </c>
      <c r="E27" s="34">
        <f>IF($A27="","",SUMIFS('Transactions'!$D$2:$D$13,'Transactions'!$C$2:$C$13,$A27,'Transactions'!$A$2:$A$13,"&gt;="&amp;E$4,'Transactions'!$A$2:$A$13,"&lt;"&amp;DATE(YEAR(E$4),MONTH(E$4)+1,1)))</f>
        <v/>
      </c>
      <c r="F27" s="34">
        <f>IF($A27="","",SUMIFS('Transactions'!$D$2:$D$13,'Transactions'!$C$2:$C$13,$A27,'Transactions'!$A$2:$A$13,"&gt;="&amp;F$4,'Transactions'!$A$2:$A$13,"&lt;"&amp;DATE(YEAR(F$4),MONTH(F$4)+1,1)))</f>
        <v/>
      </c>
      <c r="G27" s="34">
        <f>IF($A27="","",SUMIFS('Transactions'!$D$2:$D$13,'Transactions'!$C$2:$C$13,$A27,'Transactions'!$A$2:$A$13,"&gt;="&amp;G$4,'Transactions'!$A$2:$A$13,"&lt;"&amp;DATE(YEAR(G$4),MONTH(G$4)+1,1)))</f>
        <v/>
      </c>
      <c r="H27" s="34">
        <f>IF($A27="","",SUMIFS('Transactions'!$D$2:$D$13,'Transactions'!$C$2:$C$13,$A27,'Transactions'!$A$2:$A$13,"&gt;="&amp;H$4,'Transactions'!$A$2:$A$13,"&lt;"&amp;DATE(YEAR(H$4),MONTH(H$4)+1,1)))</f>
        <v/>
      </c>
      <c r="I27" s="34">
        <f>IF($A27="","",SUMIFS('Transactions'!$D$2:$D$13,'Transactions'!$C$2:$C$13,$A27,'Transactions'!$A$2:$A$13,"&gt;="&amp;I$4,'Transactions'!$A$2:$A$13,"&lt;"&amp;DATE(YEAR(I$4),MONTH(I$4)+1,1)))</f>
        <v/>
      </c>
      <c r="J27" s="34">
        <f>IF($A27="","",SUMIFS('Transactions'!$D$2:$D$13,'Transactions'!$C$2:$C$13,$A27,'Transactions'!$A$2:$A$13,"&gt;="&amp;J$4,'Transactions'!$A$2:$A$13,"&lt;"&amp;DATE(YEAR(J$4),MONTH(J$4)+1,1)))</f>
        <v/>
      </c>
      <c r="K27" s="34">
        <f>IF($A27="","",SUMIFS('Transactions'!$D$2:$D$13,'Transactions'!$C$2:$C$13,$A27,'Transactions'!$A$2:$A$13,"&gt;="&amp;K$4,'Transactions'!$A$2:$A$13,"&lt;"&amp;DATE(YEAR(K$4),MONTH(K$4)+1,1)))</f>
        <v/>
      </c>
      <c r="L27" s="34">
        <f>IF($A27="","",SUMIFS('Transactions'!$D$2:$D$13,'Transactions'!$C$2:$C$13,$A27,'Transactions'!$A$2:$A$13,"&gt;="&amp;L$4,'Transactions'!$A$2:$A$13,"&lt;"&amp;DATE(YEAR(L$4),MONTH(L$4)+1,1)))</f>
        <v/>
      </c>
      <c r="M27" s="34">
        <f>IF($A27="","",SUMIFS('Transactions'!$D$2:$D$13,'Transactions'!$C$2:$C$13,$A27,'Transactions'!$A$2:$A$13,"&gt;="&amp;M$4,'Transactions'!$A$2:$A$13,"&lt;"&amp;DATE(YEAR(M$4),MONTH(M$4)+1,1)))</f>
        <v/>
      </c>
      <c r="N27" s="34">
        <f>IF($A27="","",SUMIFS('Transactions'!$D$2:$D$13,'Transactions'!$C$2:$C$13,$A27,'Transactions'!$A$2:$A$13,"&gt;="&amp;N$4,'Transactions'!$A$2:$A$13,"&lt;"&amp;DATE(YEAR(N$4),MONTH(N$4)+1,1)))</f>
        <v/>
      </c>
      <c r="O27" s="37">
        <f>IF($A27="","",SUM(C27:N27))</f>
        <v/>
      </c>
      <c r="P27" s="42">
        <f>IF(AND($B27="Expense",N(+$O27)&gt;0),$O27+ROW()/1000000,0)</f>
        <v/>
      </c>
    </row>
    <row r="28">
      <c r="A28" s="41">
        <f>IF(INDEX(CatList,24)="","",INDEX(CatList,24))</f>
        <v/>
      </c>
      <c r="B28" s="41">
        <f>IF(INDEX(CatTypes,24)="","",INDEX(CatTypes,24))</f>
        <v/>
      </c>
      <c r="C28" s="34">
        <f>IF($A28="","",SUMIFS('Transactions'!$D$2:$D$13,'Transactions'!$C$2:$C$13,$A28,'Transactions'!$A$2:$A$13,"&gt;="&amp;C$4,'Transactions'!$A$2:$A$13,"&lt;"&amp;DATE(YEAR(C$4),MONTH(C$4)+1,1)))</f>
        <v/>
      </c>
      <c r="D28" s="34">
        <f>IF($A28="","",SUMIFS('Transactions'!$D$2:$D$13,'Transactions'!$C$2:$C$13,$A28,'Transactions'!$A$2:$A$13,"&gt;="&amp;D$4,'Transactions'!$A$2:$A$13,"&lt;"&amp;DATE(YEAR(D$4),MONTH(D$4)+1,1)))</f>
        <v/>
      </c>
      <c r="E28" s="34">
        <f>IF($A28="","",SUMIFS('Transactions'!$D$2:$D$13,'Transactions'!$C$2:$C$13,$A28,'Transactions'!$A$2:$A$13,"&gt;="&amp;E$4,'Transactions'!$A$2:$A$13,"&lt;"&amp;DATE(YEAR(E$4),MONTH(E$4)+1,1)))</f>
        <v/>
      </c>
      <c r="F28" s="34">
        <f>IF($A28="","",SUMIFS('Transactions'!$D$2:$D$13,'Transactions'!$C$2:$C$13,$A28,'Transactions'!$A$2:$A$13,"&gt;="&amp;F$4,'Transactions'!$A$2:$A$13,"&lt;"&amp;DATE(YEAR(F$4),MONTH(F$4)+1,1)))</f>
        <v/>
      </c>
      <c r="G28" s="34">
        <f>IF($A28="","",SUMIFS('Transactions'!$D$2:$D$13,'Transactions'!$C$2:$C$13,$A28,'Transactions'!$A$2:$A$13,"&gt;="&amp;G$4,'Transactions'!$A$2:$A$13,"&lt;"&amp;DATE(YEAR(G$4),MONTH(G$4)+1,1)))</f>
        <v/>
      </c>
      <c r="H28" s="34">
        <f>IF($A28="","",SUMIFS('Transactions'!$D$2:$D$13,'Transactions'!$C$2:$C$13,$A28,'Transactions'!$A$2:$A$13,"&gt;="&amp;H$4,'Transactions'!$A$2:$A$13,"&lt;"&amp;DATE(YEAR(H$4),MONTH(H$4)+1,1)))</f>
        <v/>
      </c>
      <c r="I28" s="34">
        <f>IF($A28="","",SUMIFS('Transactions'!$D$2:$D$13,'Transactions'!$C$2:$C$13,$A28,'Transactions'!$A$2:$A$13,"&gt;="&amp;I$4,'Transactions'!$A$2:$A$13,"&lt;"&amp;DATE(YEAR(I$4),MONTH(I$4)+1,1)))</f>
        <v/>
      </c>
      <c r="J28" s="34">
        <f>IF($A28="","",SUMIFS('Transactions'!$D$2:$D$13,'Transactions'!$C$2:$C$13,$A28,'Transactions'!$A$2:$A$13,"&gt;="&amp;J$4,'Transactions'!$A$2:$A$13,"&lt;"&amp;DATE(YEAR(J$4),MONTH(J$4)+1,1)))</f>
        <v/>
      </c>
      <c r="K28" s="34">
        <f>IF($A28="","",SUMIFS('Transactions'!$D$2:$D$13,'Transactions'!$C$2:$C$13,$A28,'Transactions'!$A$2:$A$13,"&gt;="&amp;K$4,'Transactions'!$A$2:$A$13,"&lt;"&amp;DATE(YEAR(K$4),MONTH(K$4)+1,1)))</f>
        <v/>
      </c>
      <c r="L28" s="34">
        <f>IF($A28="","",SUMIFS('Transactions'!$D$2:$D$13,'Transactions'!$C$2:$C$13,$A28,'Transactions'!$A$2:$A$13,"&gt;="&amp;L$4,'Transactions'!$A$2:$A$13,"&lt;"&amp;DATE(YEAR(L$4),MONTH(L$4)+1,1)))</f>
        <v/>
      </c>
      <c r="M28" s="34">
        <f>IF($A28="","",SUMIFS('Transactions'!$D$2:$D$13,'Transactions'!$C$2:$C$13,$A28,'Transactions'!$A$2:$A$13,"&gt;="&amp;M$4,'Transactions'!$A$2:$A$13,"&lt;"&amp;DATE(YEAR(M$4),MONTH(M$4)+1,1)))</f>
        <v/>
      </c>
      <c r="N28" s="34">
        <f>IF($A28="","",SUMIFS('Transactions'!$D$2:$D$13,'Transactions'!$C$2:$C$13,$A28,'Transactions'!$A$2:$A$13,"&gt;="&amp;N$4,'Transactions'!$A$2:$A$13,"&lt;"&amp;DATE(YEAR(N$4),MONTH(N$4)+1,1)))</f>
        <v/>
      </c>
      <c r="O28" s="37">
        <f>IF($A28="","",SUM(C28:N28))</f>
        <v/>
      </c>
      <c r="P28" s="42">
        <f>IF(AND($B28="Expense",N(+$O28)&gt;0),$O28+ROW()/1000000,0)</f>
        <v/>
      </c>
    </row>
    <row r="29">
      <c r="A29" s="41">
        <f>IF(INDEX(CatList,25)="","",INDEX(CatList,25))</f>
        <v/>
      </c>
      <c r="B29" s="41">
        <f>IF(INDEX(CatTypes,25)="","",INDEX(CatTypes,25))</f>
        <v/>
      </c>
      <c r="C29" s="34">
        <f>IF($A29="","",SUMIFS('Transactions'!$D$2:$D$13,'Transactions'!$C$2:$C$13,$A29,'Transactions'!$A$2:$A$13,"&gt;="&amp;C$4,'Transactions'!$A$2:$A$13,"&lt;"&amp;DATE(YEAR(C$4),MONTH(C$4)+1,1)))</f>
        <v/>
      </c>
      <c r="D29" s="34">
        <f>IF($A29="","",SUMIFS('Transactions'!$D$2:$D$13,'Transactions'!$C$2:$C$13,$A29,'Transactions'!$A$2:$A$13,"&gt;="&amp;D$4,'Transactions'!$A$2:$A$13,"&lt;"&amp;DATE(YEAR(D$4),MONTH(D$4)+1,1)))</f>
        <v/>
      </c>
      <c r="E29" s="34">
        <f>IF($A29="","",SUMIFS('Transactions'!$D$2:$D$13,'Transactions'!$C$2:$C$13,$A29,'Transactions'!$A$2:$A$13,"&gt;="&amp;E$4,'Transactions'!$A$2:$A$13,"&lt;"&amp;DATE(YEAR(E$4),MONTH(E$4)+1,1)))</f>
        <v/>
      </c>
      <c r="F29" s="34">
        <f>IF($A29="","",SUMIFS('Transactions'!$D$2:$D$13,'Transactions'!$C$2:$C$13,$A29,'Transactions'!$A$2:$A$13,"&gt;="&amp;F$4,'Transactions'!$A$2:$A$13,"&lt;"&amp;DATE(YEAR(F$4),MONTH(F$4)+1,1)))</f>
        <v/>
      </c>
      <c r="G29" s="34">
        <f>IF($A29="","",SUMIFS('Transactions'!$D$2:$D$13,'Transactions'!$C$2:$C$13,$A29,'Transactions'!$A$2:$A$13,"&gt;="&amp;G$4,'Transactions'!$A$2:$A$13,"&lt;"&amp;DATE(YEAR(G$4),MONTH(G$4)+1,1)))</f>
        <v/>
      </c>
      <c r="H29" s="34">
        <f>IF($A29="","",SUMIFS('Transactions'!$D$2:$D$13,'Transactions'!$C$2:$C$13,$A29,'Transactions'!$A$2:$A$13,"&gt;="&amp;H$4,'Transactions'!$A$2:$A$13,"&lt;"&amp;DATE(YEAR(H$4),MONTH(H$4)+1,1)))</f>
        <v/>
      </c>
      <c r="I29" s="34">
        <f>IF($A29="","",SUMIFS('Transactions'!$D$2:$D$13,'Transactions'!$C$2:$C$13,$A29,'Transactions'!$A$2:$A$13,"&gt;="&amp;I$4,'Transactions'!$A$2:$A$13,"&lt;"&amp;DATE(YEAR(I$4),MONTH(I$4)+1,1)))</f>
        <v/>
      </c>
      <c r="J29" s="34">
        <f>IF($A29="","",SUMIFS('Transactions'!$D$2:$D$13,'Transactions'!$C$2:$C$13,$A29,'Transactions'!$A$2:$A$13,"&gt;="&amp;J$4,'Transactions'!$A$2:$A$13,"&lt;"&amp;DATE(YEAR(J$4),MONTH(J$4)+1,1)))</f>
        <v/>
      </c>
      <c r="K29" s="34">
        <f>IF($A29="","",SUMIFS('Transactions'!$D$2:$D$13,'Transactions'!$C$2:$C$13,$A29,'Transactions'!$A$2:$A$13,"&gt;="&amp;K$4,'Transactions'!$A$2:$A$13,"&lt;"&amp;DATE(YEAR(K$4),MONTH(K$4)+1,1)))</f>
        <v/>
      </c>
      <c r="L29" s="34">
        <f>IF($A29="","",SUMIFS('Transactions'!$D$2:$D$13,'Transactions'!$C$2:$C$13,$A29,'Transactions'!$A$2:$A$13,"&gt;="&amp;L$4,'Transactions'!$A$2:$A$13,"&lt;"&amp;DATE(YEAR(L$4),MONTH(L$4)+1,1)))</f>
        <v/>
      </c>
      <c r="M29" s="34">
        <f>IF($A29="","",SUMIFS('Transactions'!$D$2:$D$13,'Transactions'!$C$2:$C$13,$A29,'Transactions'!$A$2:$A$13,"&gt;="&amp;M$4,'Transactions'!$A$2:$A$13,"&lt;"&amp;DATE(YEAR(M$4),MONTH(M$4)+1,1)))</f>
        <v/>
      </c>
      <c r="N29" s="34">
        <f>IF($A29="","",SUMIFS('Transactions'!$D$2:$D$13,'Transactions'!$C$2:$C$13,$A29,'Transactions'!$A$2:$A$13,"&gt;="&amp;N$4,'Transactions'!$A$2:$A$13,"&lt;"&amp;DATE(YEAR(N$4),MONTH(N$4)+1,1)))</f>
        <v/>
      </c>
      <c r="O29" s="37">
        <f>IF($A29="","",SUM(C29:N29))</f>
        <v/>
      </c>
      <c r="P29" s="42">
        <f>IF(AND($B29="Expense",N(+$O29)&gt;0),$O29+ROW()/1000000,0)</f>
        <v/>
      </c>
    </row>
    <row r="30">
      <c r="A30" s="41">
        <f>IF(INDEX(CatList,26)="","",INDEX(CatList,26))</f>
        <v/>
      </c>
      <c r="B30" s="41">
        <f>IF(INDEX(CatTypes,26)="","",INDEX(CatTypes,26))</f>
        <v/>
      </c>
      <c r="C30" s="34">
        <f>IF($A30="","",SUMIFS('Transactions'!$D$2:$D$13,'Transactions'!$C$2:$C$13,$A30,'Transactions'!$A$2:$A$13,"&gt;="&amp;C$4,'Transactions'!$A$2:$A$13,"&lt;"&amp;DATE(YEAR(C$4),MONTH(C$4)+1,1)))</f>
        <v/>
      </c>
      <c r="D30" s="34">
        <f>IF($A30="","",SUMIFS('Transactions'!$D$2:$D$13,'Transactions'!$C$2:$C$13,$A30,'Transactions'!$A$2:$A$13,"&gt;="&amp;D$4,'Transactions'!$A$2:$A$13,"&lt;"&amp;DATE(YEAR(D$4),MONTH(D$4)+1,1)))</f>
        <v/>
      </c>
      <c r="E30" s="34">
        <f>IF($A30="","",SUMIFS('Transactions'!$D$2:$D$13,'Transactions'!$C$2:$C$13,$A30,'Transactions'!$A$2:$A$13,"&gt;="&amp;E$4,'Transactions'!$A$2:$A$13,"&lt;"&amp;DATE(YEAR(E$4),MONTH(E$4)+1,1)))</f>
        <v/>
      </c>
      <c r="F30" s="34">
        <f>IF($A30="","",SUMIFS('Transactions'!$D$2:$D$13,'Transactions'!$C$2:$C$13,$A30,'Transactions'!$A$2:$A$13,"&gt;="&amp;F$4,'Transactions'!$A$2:$A$13,"&lt;"&amp;DATE(YEAR(F$4),MONTH(F$4)+1,1)))</f>
        <v/>
      </c>
      <c r="G30" s="34">
        <f>IF($A30="","",SUMIFS('Transactions'!$D$2:$D$13,'Transactions'!$C$2:$C$13,$A30,'Transactions'!$A$2:$A$13,"&gt;="&amp;G$4,'Transactions'!$A$2:$A$13,"&lt;"&amp;DATE(YEAR(G$4),MONTH(G$4)+1,1)))</f>
        <v/>
      </c>
      <c r="H30" s="34">
        <f>IF($A30="","",SUMIFS('Transactions'!$D$2:$D$13,'Transactions'!$C$2:$C$13,$A30,'Transactions'!$A$2:$A$13,"&gt;="&amp;H$4,'Transactions'!$A$2:$A$13,"&lt;"&amp;DATE(YEAR(H$4),MONTH(H$4)+1,1)))</f>
        <v/>
      </c>
      <c r="I30" s="34">
        <f>IF($A30="","",SUMIFS('Transactions'!$D$2:$D$13,'Transactions'!$C$2:$C$13,$A30,'Transactions'!$A$2:$A$13,"&gt;="&amp;I$4,'Transactions'!$A$2:$A$13,"&lt;"&amp;DATE(YEAR(I$4),MONTH(I$4)+1,1)))</f>
        <v/>
      </c>
      <c r="J30" s="34">
        <f>IF($A30="","",SUMIFS('Transactions'!$D$2:$D$13,'Transactions'!$C$2:$C$13,$A30,'Transactions'!$A$2:$A$13,"&gt;="&amp;J$4,'Transactions'!$A$2:$A$13,"&lt;"&amp;DATE(YEAR(J$4),MONTH(J$4)+1,1)))</f>
        <v/>
      </c>
      <c r="K30" s="34">
        <f>IF($A30="","",SUMIFS('Transactions'!$D$2:$D$13,'Transactions'!$C$2:$C$13,$A30,'Transactions'!$A$2:$A$13,"&gt;="&amp;K$4,'Transactions'!$A$2:$A$13,"&lt;"&amp;DATE(YEAR(K$4),MONTH(K$4)+1,1)))</f>
        <v/>
      </c>
      <c r="L30" s="34">
        <f>IF($A30="","",SUMIFS('Transactions'!$D$2:$D$13,'Transactions'!$C$2:$C$13,$A30,'Transactions'!$A$2:$A$13,"&gt;="&amp;L$4,'Transactions'!$A$2:$A$13,"&lt;"&amp;DATE(YEAR(L$4),MONTH(L$4)+1,1)))</f>
        <v/>
      </c>
      <c r="M30" s="34">
        <f>IF($A30="","",SUMIFS('Transactions'!$D$2:$D$13,'Transactions'!$C$2:$C$13,$A30,'Transactions'!$A$2:$A$13,"&gt;="&amp;M$4,'Transactions'!$A$2:$A$13,"&lt;"&amp;DATE(YEAR(M$4),MONTH(M$4)+1,1)))</f>
        <v/>
      </c>
      <c r="N30" s="34">
        <f>IF($A30="","",SUMIFS('Transactions'!$D$2:$D$13,'Transactions'!$C$2:$C$13,$A30,'Transactions'!$A$2:$A$13,"&gt;="&amp;N$4,'Transactions'!$A$2:$A$13,"&lt;"&amp;DATE(YEAR(N$4),MONTH(N$4)+1,1)))</f>
        <v/>
      </c>
      <c r="O30" s="37">
        <f>IF($A30="","",SUM(C30:N30))</f>
        <v/>
      </c>
      <c r="P30" s="42">
        <f>IF(AND($B30="Expense",N(+$O30)&gt;0),$O30+ROW()/1000000,0)</f>
        <v/>
      </c>
    </row>
    <row r="31">
      <c r="A31" s="41">
        <f>IF(INDEX(CatList,27)="","",INDEX(CatList,27))</f>
        <v/>
      </c>
      <c r="B31" s="41">
        <f>IF(INDEX(CatTypes,27)="","",INDEX(CatTypes,27))</f>
        <v/>
      </c>
      <c r="C31" s="34">
        <f>IF($A31="","",SUMIFS('Transactions'!$D$2:$D$13,'Transactions'!$C$2:$C$13,$A31,'Transactions'!$A$2:$A$13,"&gt;="&amp;C$4,'Transactions'!$A$2:$A$13,"&lt;"&amp;DATE(YEAR(C$4),MONTH(C$4)+1,1)))</f>
        <v/>
      </c>
      <c r="D31" s="34">
        <f>IF($A31="","",SUMIFS('Transactions'!$D$2:$D$13,'Transactions'!$C$2:$C$13,$A31,'Transactions'!$A$2:$A$13,"&gt;="&amp;D$4,'Transactions'!$A$2:$A$13,"&lt;"&amp;DATE(YEAR(D$4),MONTH(D$4)+1,1)))</f>
        <v/>
      </c>
      <c r="E31" s="34">
        <f>IF($A31="","",SUMIFS('Transactions'!$D$2:$D$13,'Transactions'!$C$2:$C$13,$A31,'Transactions'!$A$2:$A$13,"&gt;="&amp;E$4,'Transactions'!$A$2:$A$13,"&lt;"&amp;DATE(YEAR(E$4),MONTH(E$4)+1,1)))</f>
        <v/>
      </c>
      <c r="F31" s="34">
        <f>IF($A31="","",SUMIFS('Transactions'!$D$2:$D$13,'Transactions'!$C$2:$C$13,$A31,'Transactions'!$A$2:$A$13,"&gt;="&amp;F$4,'Transactions'!$A$2:$A$13,"&lt;"&amp;DATE(YEAR(F$4),MONTH(F$4)+1,1)))</f>
        <v/>
      </c>
      <c r="G31" s="34">
        <f>IF($A31="","",SUMIFS('Transactions'!$D$2:$D$13,'Transactions'!$C$2:$C$13,$A31,'Transactions'!$A$2:$A$13,"&gt;="&amp;G$4,'Transactions'!$A$2:$A$13,"&lt;"&amp;DATE(YEAR(G$4),MONTH(G$4)+1,1)))</f>
        <v/>
      </c>
      <c r="H31" s="34">
        <f>IF($A31="","",SUMIFS('Transactions'!$D$2:$D$13,'Transactions'!$C$2:$C$13,$A31,'Transactions'!$A$2:$A$13,"&gt;="&amp;H$4,'Transactions'!$A$2:$A$13,"&lt;"&amp;DATE(YEAR(H$4),MONTH(H$4)+1,1)))</f>
        <v/>
      </c>
      <c r="I31" s="34">
        <f>IF($A31="","",SUMIFS('Transactions'!$D$2:$D$13,'Transactions'!$C$2:$C$13,$A31,'Transactions'!$A$2:$A$13,"&gt;="&amp;I$4,'Transactions'!$A$2:$A$13,"&lt;"&amp;DATE(YEAR(I$4),MONTH(I$4)+1,1)))</f>
        <v/>
      </c>
      <c r="J31" s="34">
        <f>IF($A31="","",SUMIFS('Transactions'!$D$2:$D$13,'Transactions'!$C$2:$C$13,$A31,'Transactions'!$A$2:$A$13,"&gt;="&amp;J$4,'Transactions'!$A$2:$A$13,"&lt;"&amp;DATE(YEAR(J$4),MONTH(J$4)+1,1)))</f>
        <v/>
      </c>
      <c r="K31" s="34">
        <f>IF($A31="","",SUMIFS('Transactions'!$D$2:$D$13,'Transactions'!$C$2:$C$13,$A31,'Transactions'!$A$2:$A$13,"&gt;="&amp;K$4,'Transactions'!$A$2:$A$13,"&lt;"&amp;DATE(YEAR(K$4),MONTH(K$4)+1,1)))</f>
        <v/>
      </c>
      <c r="L31" s="34">
        <f>IF($A31="","",SUMIFS('Transactions'!$D$2:$D$13,'Transactions'!$C$2:$C$13,$A31,'Transactions'!$A$2:$A$13,"&gt;="&amp;L$4,'Transactions'!$A$2:$A$13,"&lt;"&amp;DATE(YEAR(L$4),MONTH(L$4)+1,1)))</f>
        <v/>
      </c>
      <c r="M31" s="34">
        <f>IF($A31="","",SUMIFS('Transactions'!$D$2:$D$13,'Transactions'!$C$2:$C$13,$A31,'Transactions'!$A$2:$A$13,"&gt;="&amp;M$4,'Transactions'!$A$2:$A$13,"&lt;"&amp;DATE(YEAR(M$4),MONTH(M$4)+1,1)))</f>
        <v/>
      </c>
      <c r="N31" s="34">
        <f>IF($A31="","",SUMIFS('Transactions'!$D$2:$D$13,'Transactions'!$C$2:$C$13,$A31,'Transactions'!$A$2:$A$13,"&gt;="&amp;N$4,'Transactions'!$A$2:$A$13,"&lt;"&amp;DATE(YEAR(N$4),MONTH(N$4)+1,1)))</f>
        <v/>
      </c>
      <c r="O31" s="37">
        <f>IF($A31="","",SUM(C31:N31))</f>
        <v/>
      </c>
      <c r="P31" s="42">
        <f>IF(AND($B31="Expense",N(+$O31)&gt;0),$O31+ROW()/1000000,0)</f>
        <v/>
      </c>
    </row>
    <row r="32">
      <c r="A32" s="41">
        <f>IF(INDEX(CatList,28)="","",INDEX(CatList,28))</f>
        <v/>
      </c>
      <c r="B32" s="41">
        <f>IF(INDEX(CatTypes,28)="","",INDEX(CatTypes,28))</f>
        <v/>
      </c>
      <c r="C32" s="34">
        <f>IF($A32="","",SUMIFS('Transactions'!$D$2:$D$13,'Transactions'!$C$2:$C$13,$A32,'Transactions'!$A$2:$A$13,"&gt;="&amp;C$4,'Transactions'!$A$2:$A$13,"&lt;"&amp;DATE(YEAR(C$4),MONTH(C$4)+1,1)))</f>
        <v/>
      </c>
      <c r="D32" s="34">
        <f>IF($A32="","",SUMIFS('Transactions'!$D$2:$D$13,'Transactions'!$C$2:$C$13,$A32,'Transactions'!$A$2:$A$13,"&gt;="&amp;D$4,'Transactions'!$A$2:$A$13,"&lt;"&amp;DATE(YEAR(D$4),MONTH(D$4)+1,1)))</f>
        <v/>
      </c>
      <c r="E32" s="34">
        <f>IF($A32="","",SUMIFS('Transactions'!$D$2:$D$13,'Transactions'!$C$2:$C$13,$A32,'Transactions'!$A$2:$A$13,"&gt;="&amp;E$4,'Transactions'!$A$2:$A$13,"&lt;"&amp;DATE(YEAR(E$4),MONTH(E$4)+1,1)))</f>
        <v/>
      </c>
      <c r="F32" s="34">
        <f>IF($A32="","",SUMIFS('Transactions'!$D$2:$D$13,'Transactions'!$C$2:$C$13,$A32,'Transactions'!$A$2:$A$13,"&gt;="&amp;F$4,'Transactions'!$A$2:$A$13,"&lt;"&amp;DATE(YEAR(F$4),MONTH(F$4)+1,1)))</f>
        <v/>
      </c>
      <c r="G32" s="34">
        <f>IF($A32="","",SUMIFS('Transactions'!$D$2:$D$13,'Transactions'!$C$2:$C$13,$A32,'Transactions'!$A$2:$A$13,"&gt;="&amp;G$4,'Transactions'!$A$2:$A$13,"&lt;"&amp;DATE(YEAR(G$4),MONTH(G$4)+1,1)))</f>
        <v/>
      </c>
      <c r="H32" s="34">
        <f>IF($A32="","",SUMIFS('Transactions'!$D$2:$D$13,'Transactions'!$C$2:$C$13,$A32,'Transactions'!$A$2:$A$13,"&gt;="&amp;H$4,'Transactions'!$A$2:$A$13,"&lt;"&amp;DATE(YEAR(H$4),MONTH(H$4)+1,1)))</f>
        <v/>
      </c>
      <c r="I32" s="34">
        <f>IF($A32="","",SUMIFS('Transactions'!$D$2:$D$13,'Transactions'!$C$2:$C$13,$A32,'Transactions'!$A$2:$A$13,"&gt;="&amp;I$4,'Transactions'!$A$2:$A$13,"&lt;"&amp;DATE(YEAR(I$4),MONTH(I$4)+1,1)))</f>
        <v/>
      </c>
      <c r="J32" s="34">
        <f>IF($A32="","",SUMIFS('Transactions'!$D$2:$D$13,'Transactions'!$C$2:$C$13,$A32,'Transactions'!$A$2:$A$13,"&gt;="&amp;J$4,'Transactions'!$A$2:$A$13,"&lt;"&amp;DATE(YEAR(J$4),MONTH(J$4)+1,1)))</f>
        <v/>
      </c>
      <c r="K32" s="34">
        <f>IF($A32="","",SUMIFS('Transactions'!$D$2:$D$13,'Transactions'!$C$2:$C$13,$A32,'Transactions'!$A$2:$A$13,"&gt;="&amp;K$4,'Transactions'!$A$2:$A$13,"&lt;"&amp;DATE(YEAR(K$4),MONTH(K$4)+1,1)))</f>
        <v/>
      </c>
      <c r="L32" s="34">
        <f>IF($A32="","",SUMIFS('Transactions'!$D$2:$D$13,'Transactions'!$C$2:$C$13,$A32,'Transactions'!$A$2:$A$13,"&gt;="&amp;L$4,'Transactions'!$A$2:$A$13,"&lt;"&amp;DATE(YEAR(L$4),MONTH(L$4)+1,1)))</f>
        <v/>
      </c>
      <c r="M32" s="34">
        <f>IF($A32="","",SUMIFS('Transactions'!$D$2:$D$13,'Transactions'!$C$2:$C$13,$A32,'Transactions'!$A$2:$A$13,"&gt;="&amp;M$4,'Transactions'!$A$2:$A$13,"&lt;"&amp;DATE(YEAR(M$4),MONTH(M$4)+1,1)))</f>
        <v/>
      </c>
      <c r="N32" s="34">
        <f>IF($A32="","",SUMIFS('Transactions'!$D$2:$D$13,'Transactions'!$C$2:$C$13,$A32,'Transactions'!$A$2:$A$13,"&gt;="&amp;N$4,'Transactions'!$A$2:$A$13,"&lt;"&amp;DATE(YEAR(N$4),MONTH(N$4)+1,1)))</f>
        <v/>
      </c>
      <c r="O32" s="37">
        <f>IF($A32="","",SUM(C32:N32))</f>
        <v/>
      </c>
      <c r="P32" s="42">
        <f>IF(AND($B32="Expense",N(+$O32)&gt;0),$O32+ROW()/1000000,0)</f>
        <v/>
      </c>
    </row>
    <row r="33">
      <c r="A33" s="41">
        <f>IF(INDEX(CatList,29)="","",INDEX(CatList,29))</f>
        <v/>
      </c>
      <c r="B33" s="41">
        <f>IF(INDEX(CatTypes,29)="","",INDEX(CatTypes,29))</f>
        <v/>
      </c>
      <c r="C33" s="34">
        <f>IF($A33="","",SUMIFS('Transactions'!$D$2:$D$13,'Transactions'!$C$2:$C$13,$A33,'Transactions'!$A$2:$A$13,"&gt;="&amp;C$4,'Transactions'!$A$2:$A$13,"&lt;"&amp;DATE(YEAR(C$4),MONTH(C$4)+1,1)))</f>
        <v/>
      </c>
      <c r="D33" s="34">
        <f>IF($A33="","",SUMIFS('Transactions'!$D$2:$D$13,'Transactions'!$C$2:$C$13,$A33,'Transactions'!$A$2:$A$13,"&gt;="&amp;D$4,'Transactions'!$A$2:$A$13,"&lt;"&amp;DATE(YEAR(D$4),MONTH(D$4)+1,1)))</f>
        <v/>
      </c>
      <c r="E33" s="34">
        <f>IF($A33="","",SUMIFS('Transactions'!$D$2:$D$13,'Transactions'!$C$2:$C$13,$A33,'Transactions'!$A$2:$A$13,"&gt;="&amp;E$4,'Transactions'!$A$2:$A$13,"&lt;"&amp;DATE(YEAR(E$4),MONTH(E$4)+1,1)))</f>
        <v/>
      </c>
      <c r="F33" s="34">
        <f>IF($A33="","",SUMIFS('Transactions'!$D$2:$D$13,'Transactions'!$C$2:$C$13,$A33,'Transactions'!$A$2:$A$13,"&gt;="&amp;F$4,'Transactions'!$A$2:$A$13,"&lt;"&amp;DATE(YEAR(F$4),MONTH(F$4)+1,1)))</f>
        <v/>
      </c>
      <c r="G33" s="34">
        <f>IF($A33="","",SUMIFS('Transactions'!$D$2:$D$13,'Transactions'!$C$2:$C$13,$A33,'Transactions'!$A$2:$A$13,"&gt;="&amp;G$4,'Transactions'!$A$2:$A$13,"&lt;"&amp;DATE(YEAR(G$4),MONTH(G$4)+1,1)))</f>
        <v/>
      </c>
      <c r="H33" s="34">
        <f>IF($A33="","",SUMIFS('Transactions'!$D$2:$D$13,'Transactions'!$C$2:$C$13,$A33,'Transactions'!$A$2:$A$13,"&gt;="&amp;H$4,'Transactions'!$A$2:$A$13,"&lt;"&amp;DATE(YEAR(H$4),MONTH(H$4)+1,1)))</f>
        <v/>
      </c>
      <c r="I33" s="34">
        <f>IF($A33="","",SUMIFS('Transactions'!$D$2:$D$13,'Transactions'!$C$2:$C$13,$A33,'Transactions'!$A$2:$A$13,"&gt;="&amp;I$4,'Transactions'!$A$2:$A$13,"&lt;"&amp;DATE(YEAR(I$4),MONTH(I$4)+1,1)))</f>
        <v/>
      </c>
      <c r="J33" s="34">
        <f>IF($A33="","",SUMIFS('Transactions'!$D$2:$D$13,'Transactions'!$C$2:$C$13,$A33,'Transactions'!$A$2:$A$13,"&gt;="&amp;J$4,'Transactions'!$A$2:$A$13,"&lt;"&amp;DATE(YEAR(J$4),MONTH(J$4)+1,1)))</f>
        <v/>
      </c>
      <c r="K33" s="34">
        <f>IF($A33="","",SUMIFS('Transactions'!$D$2:$D$13,'Transactions'!$C$2:$C$13,$A33,'Transactions'!$A$2:$A$13,"&gt;="&amp;K$4,'Transactions'!$A$2:$A$13,"&lt;"&amp;DATE(YEAR(K$4),MONTH(K$4)+1,1)))</f>
        <v/>
      </c>
      <c r="L33" s="34">
        <f>IF($A33="","",SUMIFS('Transactions'!$D$2:$D$13,'Transactions'!$C$2:$C$13,$A33,'Transactions'!$A$2:$A$13,"&gt;="&amp;L$4,'Transactions'!$A$2:$A$13,"&lt;"&amp;DATE(YEAR(L$4),MONTH(L$4)+1,1)))</f>
        <v/>
      </c>
      <c r="M33" s="34">
        <f>IF($A33="","",SUMIFS('Transactions'!$D$2:$D$13,'Transactions'!$C$2:$C$13,$A33,'Transactions'!$A$2:$A$13,"&gt;="&amp;M$4,'Transactions'!$A$2:$A$13,"&lt;"&amp;DATE(YEAR(M$4),MONTH(M$4)+1,1)))</f>
        <v/>
      </c>
      <c r="N33" s="34">
        <f>IF($A33="","",SUMIFS('Transactions'!$D$2:$D$13,'Transactions'!$C$2:$C$13,$A33,'Transactions'!$A$2:$A$13,"&gt;="&amp;N$4,'Transactions'!$A$2:$A$13,"&lt;"&amp;DATE(YEAR(N$4),MONTH(N$4)+1,1)))</f>
        <v/>
      </c>
      <c r="O33" s="37">
        <f>IF($A33="","",SUM(C33:N33))</f>
        <v/>
      </c>
      <c r="P33" s="42">
        <f>IF(AND($B33="Expense",N(+$O33)&gt;0),$O33+ROW()/1000000,0)</f>
        <v/>
      </c>
    </row>
    <row r="34">
      <c r="A34" s="41">
        <f>IF(INDEX(CatList,30)="","",INDEX(CatList,30))</f>
        <v/>
      </c>
      <c r="B34" s="41">
        <f>IF(INDEX(CatTypes,30)="","",INDEX(CatTypes,30))</f>
        <v/>
      </c>
      <c r="C34" s="34">
        <f>IF($A34="","",SUMIFS('Transactions'!$D$2:$D$13,'Transactions'!$C$2:$C$13,$A34,'Transactions'!$A$2:$A$13,"&gt;="&amp;C$4,'Transactions'!$A$2:$A$13,"&lt;"&amp;DATE(YEAR(C$4),MONTH(C$4)+1,1)))</f>
        <v/>
      </c>
      <c r="D34" s="34">
        <f>IF($A34="","",SUMIFS('Transactions'!$D$2:$D$13,'Transactions'!$C$2:$C$13,$A34,'Transactions'!$A$2:$A$13,"&gt;="&amp;D$4,'Transactions'!$A$2:$A$13,"&lt;"&amp;DATE(YEAR(D$4),MONTH(D$4)+1,1)))</f>
        <v/>
      </c>
      <c r="E34" s="34">
        <f>IF($A34="","",SUMIFS('Transactions'!$D$2:$D$13,'Transactions'!$C$2:$C$13,$A34,'Transactions'!$A$2:$A$13,"&gt;="&amp;E$4,'Transactions'!$A$2:$A$13,"&lt;"&amp;DATE(YEAR(E$4),MONTH(E$4)+1,1)))</f>
        <v/>
      </c>
      <c r="F34" s="34">
        <f>IF($A34="","",SUMIFS('Transactions'!$D$2:$D$13,'Transactions'!$C$2:$C$13,$A34,'Transactions'!$A$2:$A$13,"&gt;="&amp;F$4,'Transactions'!$A$2:$A$13,"&lt;"&amp;DATE(YEAR(F$4),MONTH(F$4)+1,1)))</f>
        <v/>
      </c>
      <c r="G34" s="34">
        <f>IF($A34="","",SUMIFS('Transactions'!$D$2:$D$13,'Transactions'!$C$2:$C$13,$A34,'Transactions'!$A$2:$A$13,"&gt;="&amp;G$4,'Transactions'!$A$2:$A$13,"&lt;"&amp;DATE(YEAR(G$4),MONTH(G$4)+1,1)))</f>
        <v/>
      </c>
      <c r="H34" s="34">
        <f>IF($A34="","",SUMIFS('Transactions'!$D$2:$D$13,'Transactions'!$C$2:$C$13,$A34,'Transactions'!$A$2:$A$13,"&gt;="&amp;H$4,'Transactions'!$A$2:$A$13,"&lt;"&amp;DATE(YEAR(H$4),MONTH(H$4)+1,1)))</f>
        <v/>
      </c>
      <c r="I34" s="34">
        <f>IF($A34="","",SUMIFS('Transactions'!$D$2:$D$13,'Transactions'!$C$2:$C$13,$A34,'Transactions'!$A$2:$A$13,"&gt;="&amp;I$4,'Transactions'!$A$2:$A$13,"&lt;"&amp;DATE(YEAR(I$4),MONTH(I$4)+1,1)))</f>
        <v/>
      </c>
      <c r="J34" s="34">
        <f>IF($A34="","",SUMIFS('Transactions'!$D$2:$D$13,'Transactions'!$C$2:$C$13,$A34,'Transactions'!$A$2:$A$13,"&gt;="&amp;J$4,'Transactions'!$A$2:$A$13,"&lt;"&amp;DATE(YEAR(J$4),MONTH(J$4)+1,1)))</f>
        <v/>
      </c>
      <c r="K34" s="34">
        <f>IF($A34="","",SUMIFS('Transactions'!$D$2:$D$13,'Transactions'!$C$2:$C$13,$A34,'Transactions'!$A$2:$A$13,"&gt;="&amp;K$4,'Transactions'!$A$2:$A$13,"&lt;"&amp;DATE(YEAR(K$4),MONTH(K$4)+1,1)))</f>
        <v/>
      </c>
      <c r="L34" s="34">
        <f>IF($A34="","",SUMIFS('Transactions'!$D$2:$D$13,'Transactions'!$C$2:$C$13,$A34,'Transactions'!$A$2:$A$13,"&gt;="&amp;L$4,'Transactions'!$A$2:$A$13,"&lt;"&amp;DATE(YEAR(L$4),MONTH(L$4)+1,1)))</f>
        <v/>
      </c>
      <c r="M34" s="34">
        <f>IF($A34="","",SUMIFS('Transactions'!$D$2:$D$13,'Transactions'!$C$2:$C$13,$A34,'Transactions'!$A$2:$A$13,"&gt;="&amp;M$4,'Transactions'!$A$2:$A$13,"&lt;"&amp;DATE(YEAR(M$4),MONTH(M$4)+1,1)))</f>
        <v/>
      </c>
      <c r="N34" s="34">
        <f>IF($A34="","",SUMIFS('Transactions'!$D$2:$D$13,'Transactions'!$C$2:$C$13,$A34,'Transactions'!$A$2:$A$13,"&gt;="&amp;N$4,'Transactions'!$A$2:$A$13,"&lt;"&amp;DATE(YEAR(N$4),MONTH(N$4)+1,1)))</f>
        <v/>
      </c>
      <c r="O34" s="37">
        <f>IF($A34="","",SUM(C34:N34))</f>
        <v/>
      </c>
      <c r="P34" s="42">
        <f>IF(AND($B34="Expense",N(+$O34)&gt;0),$O34+ROW()/1000000,0)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3"/>
  <sheetViews>
    <sheetView tabSelected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20" customWidth="1" min="3" max="3"/>
    <col width="14" customWidth="1" min="4" max="4"/>
    <col width="12" customWidth="1" min="5" max="5"/>
    <col width="12" customWidth="1" min="6" max="6"/>
    <col width="12" customWidth="1" min="7" max="7"/>
    <col width="14" customWidth="1" min="8" max="8"/>
    <col width="11" customWidth="1" min="9" max="9"/>
    <col width="15" customWidth="1" min="10" max="10"/>
    <col width="11" customWidth="1" min="11" max="11"/>
    <col width="14" customWidth="1" min="12" max="12"/>
    <col width="13" customWidth="1" min="13" max="13"/>
    <col width="12" customWidth="1" min="14" max="14"/>
    <col width="9" customWidth="1" min="15" max="15"/>
    <col width="12" customWidth="1" min="16" max="16"/>
    <col width="13" customWidth="1" min="17" max="17"/>
  </cols>
  <sheetData>
    <row r="1" ht="32" customHeight="1">
      <c r="A1" s="21" t="inlineStr">
        <is>
          <t>Job ID</t>
        </is>
      </c>
      <c r="B1" s="21" t="inlineStr">
        <is>
          <t>Job</t>
        </is>
      </c>
      <c r="C1" s="21" t="inlineStr">
        <is>
          <t>Client</t>
        </is>
      </c>
      <c r="D1" s="21" t="inlineStr">
        <is>
          <t>Owner</t>
        </is>
      </c>
      <c r="E1" s="21" t="inlineStr">
        <is>
          <t>Start date</t>
        </is>
      </c>
      <c r="F1" s="21" t="inlineStr">
        <is>
          <t>Deadline</t>
        </is>
      </c>
      <c r="G1" s="21" t="inlineStr">
        <is>
          <t>Status</t>
        </is>
      </c>
      <c r="H1" s="21" t="inlineStr">
        <is>
          <t>Price agreed €</t>
        </is>
      </c>
      <c r="I1" s="21" t="inlineStr">
        <is>
          <t>Estimated hours</t>
        </is>
      </c>
      <c r="J1" s="21" t="inlineStr">
        <is>
          <t>Materials and other costs €</t>
        </is>
      </c>
      <c r="K1" s="21" t="inlineStr">
        <is>
          <t>Hours logged</t>
        </is>
      </c>
      <c r="L1" s="21" t="inlineStr">
        <is>
          <t>Labour cost €</t>
        </is>
      </c>
      <c r="M1" s="21" t="inlineStr">
        <is>
          <t>Total cost €</t>
        </is>
      </c>
      <c r="N1" s="21" t="inlineStr">
        <is>
          <t>Profit €</t>
        </is>
      </c>
      <c r="O1" s="21" t="inlineStr">
        <is>
          <t>Margin</t>
        </is>
      </c>
      <c r="P1" s="21" t="inlineStr">
        <is>
          <t>Hours used vs estimate</t>
        </is>
      </c>
      <c r="Q1" s="21" t="inlineStr">
        <is>
          <t>Deadline check</t>
        </is>
      </c>
    </row>
    <row r="2">
      <c r="A2" s="27" t="inlineStr">
        <is>
          <t>J-001</t>
        </is>
      </c>
      <c r="B2" s="27" t="inlineStr">
        <is>
          <t>Shop fit-out</t>
        </is>
      </c>
      <c r="C2" s="27" t="inlineStr">
        <is>
          <t>Café Aurora</t>
        </is>
      </c>
      <c r="D2" s="27" t="inlineStr">
        <is>
          <t>Ana Silva</t>
        </is>
      </c>
      <c r="E2" s="26" t="n">
        <v>46408</v>
      </c>
      <c r="F2" s="26" t="n">
        <v>46432</v>
      </c>
      <c r="G2" s="27" t="inlineStr">
        <is>
          <t>Complete</t>
        </is>
      </c>
      <c r="H2" s="28" t="n">
        <v>2400</v>
      </c>
      <c r="I2" s="43" t="n">
        <v>60</v>
      </c>
      <c r="J2" s="28" t="n">
        <v>780</v>
      </c>
      <c r="K2" s="44">
        <f>IF(A2="","",SUMIFS('Timesheet'!$D$2:$D$13,'Timesheet'!$B$2:$B$13,A2))</f>
        <v/>
      </c>
      <c r="L2" s="39">
        <f>IF(A2="","",K2*LabourRate)</f>
        <v/>
      </c>
      <c r="M2" s="39">
        <f>IF(A2="","",N(J2)+L2)</f>
        <v/>
      </c>
      <c r="N2" s="39">
        <f>IF(A2="","",N(H2)-M2)</f>
        <v/>
      </c>
      <c r="O2" s="45">
        <f>IF(OR(A2="",N(H2)=0),"",N2/H2)</f>
        <v/>
      </c>
      <c r="P2" s="45">
        <f>IF(OR(A2="",N(I2)=0),"",K2/I2)</f>
        <v/>
      </c>
      <c r="Q2" s="30">
        <f>IF(OR(A2="",F2=""),"",IF(OR(G2="Complete",G2="Cancelled"),"Closed",IF(F2&lt;TODAY(),"Overdue",IF(F2-TODAY()&lt;=7,"Due in 7 days","On track"))))</f>
        <v/>
      </c>
    </row>
    <row r="3">
      <c r="A3" s="27" t="inlineStr">
        <is>
          <t>J-002</t>
        </is>
      </c>
      <c r="B3" s="27" t="inlineStr">
        <is>
          <t>Maintenance contract Q1</t>
        </is>
      </c>
      <c r="C3" s="27" t="inlineStr">
        <is>
          <t>Studio Nove</t>
        </is>
      </c>
      <c r="D3" s="27" t="inlineStr">
        <is>
          <t>Bruno Costa</t>
        </is>
      </c>
      <c r="E3" s="26" t="n">
        <v>46420</v>
      </c>
      <c r="F3" s="26" t="n">
        <v>46477</v>
      </c>
      <c r="G3" s="27" t="inlineStr">
        <is>
          <t>In progress</t>
        </is>
      </c>
      <c r="H3" s="28" t="n">
        <v>1200</v>
      </c>
      <c r="I3" s="43" t="n">
        <v>30</v>
      </c>
      <c r="J3" s="28" t="n">
        <v>90</v>
      </c>
      <c r="K3" s="44">
        <f>IF(A3="","",SUMIFS('Timesheet'!$D$2:$D$13,'Timesheet'!$B$2:$B$13,A3))</f>
        <v/>
      </c>
      <c r="L3" s="39">
        <f>IF(A3="","",K3*LabourRate)</f>
        <v/>
      </c>
      <c r="M3" s="39">
        <f>IF(A3="","",N(J3)+L3)</f>
        <v/>
      </c>
      <c r="N3" s="39">
        <f>IF(A3="","",N(H3)-M3)</f>
        <v/>
      </c>
      <c r="O3" s="45">
        <f>IF(OR(A3="",N(H3)=0),"",N3/H3)</f>
        <v/>
      </c>
      <c r="P3" s="45">
        <f>IF(OR(A3="",N(I3)=0),"",K3/I3)</f>
        <v/>
      </c>
      <c r="Q3" s="30">
        <f>IF(OR(A3="",F3=""),"",IF(OR(G3="Complete",G3="Cancelled"),"Closed",IF(F3&lt;TODAY(),"Overdue",IF(F3-TODAY()&lt;=7,"Due in 7 days","On track"))))</f>
        <v/>
      </c>
    </row>
    <row r="4">
      <c r="A4" s="27" t="inlineStr">
        <is>
          <t>J-003</t>
        </is>
      </c>
      <c r="B4" s="27" t="inlineStr">
        <is>
          <t>Workshop storage</t>
        </is>
      </c>
      <c r="C4" s="27" t="inlineStr">
        <is>
          <t>Oficina Verde</t>
        </is>
      </c>
      <c r="D4" s="27" t="inlineStr">
        <is>
          <t>Bruno Costa</t>
        </is>
      </c>
      <c r="E4" s="26" t="n">
        <v>46462</v>
      </c>
      <c r="F4" s="26" t="n">
        <v>46486</v>
      </c>
      <c r="G4" s="27" t="inlineStr">
        <is>
          <t>Planned</t>
        </is>
      </c>
      <c r="H4" s="28" t="n">
        <v>1450</v>
      </c>
      <c r="I4" s="43" t="n">
        <v>38</v>
      </c>
      <c r="J4" s="28" t="n">
        <v>520</v>
      </c>
      <c r="K4" s="44">
        <f>IF(A4="","",SUMIFS('Timesheet'!$D$2:$D$13,'Timesheet'!$B$2:$B$13,A4))</f>
        <v/>
      </c>
      <c r="L4" s="39">
        <f>IF(A4="","",K4*LabourRate)</f>
        <v/>
      </c>
      <c r="M4" s="39">
        <f>IF(A4="","",N(J4)+L4)</f>
        <v/>
      </c>
      <c r="N4" s="39">
        <f>IF(A4="","",N(H4)-M4)</f>
        <v/>
      </c>
      <c r="O4" s="45">
        <f>IF(OR(A4="",N(H4)=0),"",N4/H4)</f>
        <v/>
      </c>
      <c r="P4" s="45">
        <f>IF(OR(A4="",N(I4)=0),"",K4/I4)</f>
        <v/>
      </c>
      <c r="Q4" s="30">
        <f>IF(OR(A4="",F4=""),"",IF(OR(G4="Complete",G4="Cancelled"),"Closed",IF(F4&lt;TODAY(),"Overdue",IF(F4-TODAY()&lt;=7,"Due in 7 days","On track"))))</f>
        <v/>
      </c>
    </row>
    <row r="5">
      <c r="A5" s="27" t="inlineStr">
        <is>
          <t>J-004</t>
        </is>
      </c>
      <c r="B5" s="27" t="inlineStr">
        <is>
          <t>Room refresh, 6 rooms</t>
        </is>
      </c>
      <c r="C5" s="27" t="inlineStr">
        <is>
          <t>Hotel Mar Azul</t>
        </is>
      </c>
      <c r="D5" s="27" t="inlineStr">
        <is>
          <t>Ana Silva</t>
        </is>
      </c>
      <c r="E5" s="26" t="n">
        <v>46478</v>
      </c>
      <c r="F5" s="26" t="n">
        <v>46537</v>
      </c>
      <c r="G5" s="27" t="inlineStr">
        <is>
          <t>Planned</t>
        </is>
      </c>
      <c r="H5" s="28" t="n">
        <v>8400</v>
      </c>
      <c r="I5" s="43" t="n">
        <v>190</v>
      </c>
      <c r="J5" s="28" t="n">
        <v>3100</v>
      </c>
      <c r="K5" s="44">
        <f>IF(A5="","",SUMIFS('Timesheet'!$D$2:$D$13,'Timesheet'!$B$2:$B$13,A5))</f>
        <v/>
      </c>
      <c r="L5" s="39">
        <f>IF(A5="","",K5*LabourRate)</f>
        <v/>
      </c>
      <c r="M5" s="39">
        <f>IF(A5="","",N(J5)+L5)</f>
        <v/>
      </c>
      <c r="N5" s="39">
        <f>IF(A5="","",N(H5)-M5)</f>
        <v/>
      </c>
      <c r="O5" s="45">
        <f>IF(OR(A5="",N(H5)=0),"",N5/H5)</f>
        <v/>
      </c>
      <c r="P5" s="45">
        <f>IF(OR(A5="",N(I5)=0),"",K5/I5)</f>
        <v/>
      </c>
      <c r="Q5" s="30">
        <f>IF(OR(A5="",F5=""),"",IF(OR(G5="Complete",G5="Cancelled"),"Closed",IF(F5&lt;TODAY(),"Overdue",IF(F5-TODAY()&lt;=7,"Due in 7 days","On track"))))</f>
        <v/>
      </c>
    </row>
    <row r="6">
      <c r="A6" s="27" t="n"/>
      <c r="B6" s="27" t="n"/>
      <c r="C6" s="27" t="n"/>
      <c r="D6" s="27" t="n"/>
      <c r="E6" s="26" t="n"/>
      <c r="F6" s="26" t="n"/>
      <c r="G6" s="27" t="n"/>
      <c r="H6" s="28" t="n"/>
      <c r="I6" s="43" t="n"/>
      <c r="J6" s="28" t="n"/>
      <c r="K6" s="44">
        <f>IF(A6="","",SUMIFS('Timesheet'!$D$2:$D$13,'Timesheet'!$B$2:$B$13,A6))</f>
        <v/>
      </c>
      <c r="L6" s="39">
        <f>IF(A6="","",K6*LabourRate)</f>
        <v/>
      </c>
      <c r="M6" s="39">
        <f>IF(A6="","",N(J6)+L6)</f>
        <v/>
      </c>
      <c r="N6" s="39">
        <f>IF(A6="","",N(H6)-M6)</f>
        <v/>
      </c>
      <c r="O6" s="45">
        <f>IF(OR(A6="",N(H6)=0),"",N6/H6)</f>
        <v/>
      </c>
      <c r="P6" s="45">
        <f>IF(OR(A6="",N(I6)=0),"",K6/I6)</f>
        <v/>
      </c>
      <c r="Q6" s="30">
        <f>IF(OR(A6="",F6=""),"",IF(OR(G6="Complete",G6="Cancelled"),"Closed",IF(F6&lt;TODAY(),"Overdue",IF(F6-TODAY()&lt;=7,"Due in 7 days","On track"))))</f>
        <v/>
      </c>
    </row>
    <row r="7">
      <c r="A7" s="27" t="n"/>
      <c r="B7" s="27" t="n"/>
      <c r="C7" s="27" t="n"/>
      <c r="D7" s="27" t="n"/>
      <c r="E7" s="26" t="n"/>
      <c r="F7" s="26" t="n"/>
      <c r="G7" s="27" t="n"/>
      <c r="H7" s="28" t="n"/>
      <c r="I7" s="43" t="n"/>
      <c r="J7" s="28" t="n"/>
      <c r="K7" s="44">
        <f>IF(A7="","",SUMIFS('Timesheet'!$D$2:$D$13,'Timesheet'!$B$2:$B$13,A7))</f>
        <v/>
      </c>
      <c r="L7" s="39">
        <f>IF(A7="","",K7*LabourRate)</f>
        <v/>
      </c>
      <c r="M7" s="39">
        <f>IF(A7="","",N(J7)+L7)</f>
        <v/>
      </c>
      <c r="N7" s="39">
        <f>IF(A7="","",N(H7)-M7)</f>
        <v/>
      </c>
      <c r="O7" s="45">
        <f>IF(OR(A7="",N(H7)=0),"",N7/H7)</f>
        <v/>
      </c>
      <c r="P7" s="45">
        <f>IF(OR(A7="",N(I7)=0),"",K7/I7)</f>
        <v/>
      </c>
      <c r="Q7" s="30">
        <f>IF(OR(A7="",F7=""),"",IF(OR(G7="Complete",G7="Cancelled"),"Closed",IF(F7&lt;TODAY(),"Overdue",IF(F7-TODAY()&lt;=7,"Due in 7 days","On track"))))</f>
        <v/>
      </c>
    </row>
    <row r="8">
      <c r="A8" s="27" t="n"/>
      <c r="B8" s="27" t="n"/>
      <c r="C8" s="27" t="n"/>
      <c r="D8" s="27" t="n"/>
      <c r="E8" s="26" t="n"/>
      <c r="F8" s="26" t="n"/>
      <c r="G8" s="27" t="n"/>
      <c r="H8" s="28" t="n"/>
      <c r="I8" s="43" t="n"/>
      <c r="J8" s="28" t="n"/>
      <c r="K8" s="44">
        <f>IF(A8="","",SUMIFS('Timesheet'!$D$2:$D$13,'Timesheet'!$B$2:$B$13,A8))</f>
        <v/>
      </c>
      <c r="L8" s="39">
        <f>IF(A8="","",K8*LabourRate)</f>
        <v/>
      </c>
      <c r="M8" s="39">
        <f>IF(A8="","",N(J8)+L8)</f>
        <v/>
      </c>
      <c r="N8" s="39">
        <f>IF(A8="","",N(H8)-M8)</f>
        <v/>
      </c>
      <c r="O8" s="45">
        <f>IF(OR(A8="",N(H8)=0),"",N8/H8)</f>
        <v/>
      </c>
      <c r="P8" s="45">
        <f>IF(OR(A8="",N(I8)=0),"",K8/I8)</f>
        <v/>
      </c>
      <c r="Q8" s="30">
        <f>IF(OR(A8="",F8=""),"",IF(OR(G8="Complete",G8="Cancelled"),"Closed",IF(F8&lt;TODAY(),"Overdue",IF(F8-TODAY()&lt;=7,"Due in 7 days","On track"))))</f>
        <v/>
      </c>
    </row>
    <row r="9">
      <c r="A9" s="27" t="n"/>
      <c r="B9" s="27" t="n"/>
      <c r="C9" s="27" t="n"/>
      <c r="D9" s="27" t="n"/>
      <c r="E9" s="26" t="n"/>
      <c r="F9" s="26" t="n"/>
      <c r="G9" s="27" t="n"/>
      <c r="H9" s="28" t="n"/>
      <c r="I9" s="43" t="n"/>
      <c r="J9" s="28" t="n"/>
      <c r="K9" s="44">
        <f>IF(A9="","",SUMIFS('Timesheet'!$D$2:$D$13,'Timesheet'!$B$2:$B$13,A9))</f>
        <v/>
      </c>
      <c r="L9" s="39">
        <f>IF(A9="","",K9*LabourRate)</f>
        <v/>
      </c>
      <c r="M9" s="39">
        <f>IF(A9="","",N(J9)+L9)</f>
        <v/>
      </c>
      <c r="N9" s="39">
        <f>IF(A9="","",N(H9)-M9)</f>
        <v/>
      </c>
      <c r="O9" s="45">
        <f>IF(OR(A9="",N(H9)=0),"",N9/H9)</f>
        <v/>
      </c>
      <c r="P9" s="45">
        <f>IF(OR(A9="",N(I9)=0),"",K9/I9)</f>
        <v/>
      </c>
      <c r="Q9" s="30">
        <f>IF(OR(A9="",F9=""),"",IF(OR(G9="Complete",G9="Cancelled"),"Closed",IF(F9&lt;TODAY(),"Overdue",IF(F9-TODAY()&lt;=7,"Due in 7 days","On track"))))</f>
        <v/>
      </c>
    </row>
    <row r="10">
      <c r="A10" s="27" t="n"/>
      <c r="B10" s="27" t="n"/>
      <c r="C10" s="27" t="n"/>
      <c r="D10" s="27" t="n"/>
      <c r="E10" s="26" t="n"/>
      <c r="F10" s="26" t="n"/>
      <c r="G10" s="27" t="n"/>
      <c r="H10" s="28" t="n"/>
      <c r="I10" s="43" t="n"/>
      <c r="J10" s="28" t="n"/>
      <c r="K10" s="44">
        <f>IF(A10="","",SUMIFS('Timesheet'!$D$2:$D$13,'Timesheet'!$B$2:$B$13,A10))</f>
        <v/>
      </c>
      <c r="L10" s="39">
        <f>IF(A10="","",K10*LabourRate)</f>
        <v/>
      </c>
      <c r="M10" s="39">
        <f>IF(A10="","",N(J10)+L10)</f>
        <v/>
      </c>
      <c r="N10" s="39">
        <f>IF(A10="","",N(H10)-M10)</f>
        <v/>
      </c>
      <c r="O10" s="45">
        <f>IF(OR(A10="",N(H10)=0),"",N10/H10)</f>
        <v/>
      </c>
      <c r="P10" s="45">
        <f>IF(OR(A10="",N(I10)=0),"",K10/I10)</f>
        <v/>
      </c>
      <c r="Q10" s="30">
        <f>IF(OR(A10="",F10=""),"",IF(OR(G10="Complete",G10="Cancelled"),"Closed",IF(F10&lt;TODAY(),"Overdue",IF(F10-TODAY()&lt;=7,"Due in 7 days","On track"))))</f>
        <v/>
      </c>
    </row>
    <row r="11">
      <c r="A11" s="27" t="n"/>
      <c r="B11" s="27" t="n"/>
      <c r="C11" s="27" t="n"/>
      <c r="D11" s="27" t="n"/>
      <c r="E11" s="26" t="n"/>
      <c r="F11" s="26" t="n"/>
      <c r="G11" s="27" t="n"/>
      <c r="H11" s="28" t="n"/>
      <c r="I11" s="43" t="n"/>
      <c r="J11" s="28" t="n"/>
      <c r="K11" s="44">
        <f>IF(A11="","",SUMIFS('Timesheet'!$D$2:$D$13,'Timesheet'!$B$2:$B$13,A11))</f>
        <v/>
      </c>
      <c r="L11" s="39">
        <f>IF(A11="","",K11*LabourRate)</f>
        <v/>
      </c>
      <c r="M11" s="39">
        <f>IF(A11="","",N(J11)+L11)</f>
        <v/>
      </c>
      <c r="N11" s="39">
        <f>IF(A11="","",N(H11)-M11)</f>
        <v/>
      </c>
      <c r="O11" s="45">
        <f>IF(OR(A11="",N(H11)=0),"",N11/H11)</f>
        <v/>
      </c>
      <c r="P11" s="45">
        <f>IF(OR(A11="",N(I11)=0),"",K11/I11)</f>
        <v/>
      </c>
      <c r="Q11" s="30">
        <f>IF(OR(A11="",F11=""),"",IF(OR(G11="Complete",G11="Cancelled"),"Closed",IF(F11&lt;TODAY(),"Overdue",IF(F11-TODAY()&lt;=7,"Due in 7 days","On track"))))</f>
        <v/>
      </c>
    </row>
    <row r="12">
      <c r="A12" s="27" t="n"/>
      <c r="B12" s="27" t="n"/>
      <c r="C12" s="27" t="n"/>
      <c r="D12" s="27" t="n"/>
      <c r="E12" s="26" t="n"/>
      <c r="F12" s="26" t="n"/>
      <c r="G12" s="27" t="n"/>
      <c r="H12" s="28" t="n"/>
      <c r="I12" s="43" t="n"/>
      <c r="J12" s="28" t="n"/>
      <c r="K12" s="44">
        <f>IF(A12="","",SUMIFS('Timesheet'!$D$2:$D$13,'Timesheet'!$B$2:$B$13,A12))</f>
        <v/>
      </c>
      <c r="L12" s="39">
        <f>IF(A12="","",K12*LabourRate)</f>
        <v/>
      </c>
      <c r="M12" s="39">
        <f>IF(A12="","",N(J12)+L12)</f>
        <v/>
      </c>
      <c r="N12" s="39">
        <f>IF(A12="","",N(H12)-M12)</f>
        <v/>
      </c>
      <c r="O12" s="45">
        <f>IF(OR(A12="",N(H12)=0),"",N12/H12)</f>
        <v/>
      </c>
      <c r="P12" s="45">
        <f>IF(OR(A12="",N(I12)=0),"",K12/I12)</f>
        <v/>
      </c>
      <c r="Q12" s="30">
        <f>IF(OR(A12="",F12=""),"",IF(OR(G12="Complete",G12="Cancelled"),"Closed",IF(F12&lt;TODAY(),"Overdue",IF(F12-TODAY()&lt;=7,"Due in 7 days","On track"))))</f>
        <v/>
      </c>
    </row>
    <row r="13">
      <c r="A13" s="27" t="n"/>
      <c r="B13" s="27" t="n"/>
      <c r="C13" s="27" t="n"/>
      <c r="D13" s="27" t="n"/>
      <c r="E13" s="26" t="n"/>
      <c r="F13" s="26" t="n"/>
      <c r="G13" s="27" t="n"/>
      <c r="H13" s="28" t="n"/>
      <c r="I13" s="43" t="n"/>
      <c r="J13" s="28" t="n"/>
      <c r="K13" s="44">
        <f>IF(A13="","",SUMIFS('Timesheet'!$D$2:$D$13,'Timesheet'!$B$2:$B$13,A13))</f>
        <v/>
      </c>
      <c r="L13" s="39">
        <f>IF(A13="","",K13*LabourRate)</f>
        <v/>
      </c>
      <c r="M13" s="39">
        <f>IF(A13="","",N(J13)+L13)</f>
        <v/>
      </c>
      <c r="N13" s="39">
        <f>IF(A13="","",N(H13)-M13)</f>
        <v/>
      </c>
      <c r="O13" s="45">
        <f>IF(OR(A13="",N(H13)=0),"",N13/H13)</f>
        <v/>
      </c>
      <c r="P13" s="45">
        <f>IF(OR(A13="",N(I13)=0),"",K13/I13)</f>
        <v/>
      </c>
      <c r="Q13" s="30">
        <f>IF(OR(A13="",F13=""),"",IF(OR(G13="Complete",G13="Cancelled"),"Closed",IF(F13&lt;TODAY(),"Overdue",IF(F13-TODAY()&lt;=7,"Due in 7 days","On track"))))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Q2:Q13">
    <cfRule type="cellIs" priority="1" operator="equal" dxfId="0">
      <formula>"Overdue"</formula>
    </cfRule>
    <cfRule type="cellIs" priority="2" operator="equal" dxfId="1">
      <formula>"Due in 7 days"</formula>
    </cfRule>
  </conditionalFormatting>
  <conditionalFormatting sqref="N2:N13">
    <cfRule type="cellIs" priority="3" operator="lessThan" dxfId="4">
      <formula>0</formula>
    </cfRule>
  </conditionalFormatting>
  <dataValidations count="5">
    <dataValidation sqref="D2:D13" showDropDown="0" showInputMessage="0" showErrorMessage="1" allowBlank="1" errorTitle="Not in the list" error="Choose a value from the list (edit lists in Settings)." type="list">
      <formula1>=TeamList</formula1>
    </dataValidation>
    <dataValidation sqref="G2:G13" showDropDown="0" showInputMessage="0" showErrorMessage="1" allowBlank="1" errorTitle="Not in the list" error="Choose a value from the list (edit lists in Settings)." type="list">
      <formula1>=JobStatusList</formula1>
    </dataValidation>
    <dataValidation sqref="H2:H13" showDropDown="0" showInputMessage="0" showErrorMessage="1" allowBlank="1" error="Enter a number." type="decimal" operator="greaterThanOrEqual">
      <formula1>0</formula1>
    </dataValidation>
    <dataValidation sqref="I2:I13" showDropDown="0" showInputMessage="0" showErrorMessage="1" allowBlank="1" error="Enter a number." type="decimal" operator="greaterThanOrEqual">
      <formula1>0</formula1>
    </dataValidation>
    <dataValidation sqref="J2:J13" showDropDown="0" showInputMessage="0" showErrorMessage="1" allowBlank="1" error="Enter a number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9" customWidth="1" min="4" max="4"/>
    <col width="34" customWidth="1" min="5" max="5"/>
    <col width="28" customWidth="1" min="6" max="6"/>
  </cols>
  <sheetData>
    <row r="1" ht="32" customHeight="1">
      <c r="A1" s="21" t="inlineStr">
        <is>
          <t>Date</t>
        </is>
      </c>
      <c r="B1" s="21" t="inlineStr">
        <is>
          <t>Job ID</t>
        </is>
      </c>
      <c r="C1" s="21" t="inlineStr">
        <is>
          <t>Person</t>
        </is>
      </c>
      <c r="D1" s="21" t="inlineStr">
        <is>
          <t>Hours</t>
        </is>
      </c>
      <c r="E1" s="21" t="inlineStr">
        <is>
          <t>What was done</t>
        </is>
      </c>
      <c r="F1" s="21" t="inlineStr">
        <is>
          <t>Job name</t>
        </is>
      </c>
    </row>
    <row r="2">
      <c r="A2" s="26" t="n">
        <v>46408</v>
      </c>
      <c r="B2" s="27" t="inlineStr">
        <is>
          <t>J-001</t>
        </is>
      </c>
      <c r="C2" s="27" t="inlineStr">
        <is>
          <t>Ana Silva</t>
        </is>
      </c>
      <c r="D2" s="43" t="n">
        <v>7</v>
      </c>
      <c r="E2" s="27" t="inlineStr">
        <is>
          <t>Work on site</t>
        </is>
      </c>
      <c r="F2" s="30">
        <f>IF(B2="","",IFERROR(INDEX('Jobs'!$B$2:$B$13,MATCH(B2,'Jobs'!$A$2:$A$13,0)),"Unknown job ID"))</f>
        <v/>
      </c>
    </row>
    <row r="3">
      <c r="A3" s="26" t="n">
        <v>46409</v>
      </c>
      <c r="B3" s="27" t="inlineStr">
        <is>
          <t>J-001</t>
        </is>
      </c>
      <c r="C3" s="27" t="inlineStr">
        <is>
          <t>Ana Silva</t>
        </is>
      </c>
      <c r="D3" s="43" t="n">
        <v>8</v>
      </c>
      <c r="E3" s="27" t="inlineStr">
        <is>
          <t>Work on site</t>
        </is>
      </c>
      <c r="F3" s="30">
        <f>IF(B3="","",IFERROR(INDEX('Jobs'!$B$2:$B$13,MATCH(B3,'Jobs'!$A$2:$A$13,0)),"Unknown job ID"))</f>
        <v/>
      </c>
    </row>
    <row r="4">
      <c r="A4" s="26" t="n">
        <v>46410</v>
      </c>
      <c r="B4" s="27" t="inlineStr">
        <is>
          <t>J-001</t>
        </is>
      </c>
      <c r="C4" s="27" t="inlineStr">
        <is>
          <t>Ana Silva</t>
        </is>
      </c>
      <c r="D4" s="43" t="n">
        <v>8</v>
      </c>
      <c r="E4" s="27" t="inlineStr">
        <is>
          <t>Work on site</t>
        </is>
      </c>
      <c r="F4" s="30">
        <f>IF(B4="","",IFERROR(INDEX('Jobs'!$B$2:$B$13,MATCH(B4,'Jobs'!$A$2:$A$13,0)),"Unknown job ID"))</f>
        <v/>
      </c>
    </row>
    <row r="5">
      <c r="A5" s="26" t="n">
        <v>46411</v>
      </c>
      <c r="B5" s="27" t="inlineStr">
        <is>
          <t>J-001</t>
        </is>
      </c>
      <c r="C5" s="27" t="inlineStr">
        <is>
          <t>Ana Silva</t>
        </is>
      </c>
      <c r="D5" s="43" t="n">
        <v>6</v>
      </c>
      <c r="E5" s="27" t="inlineStr">
        <is>
          <t>Work on site</t>
        </is>
      </c>
      <c r="F5" s="30">
        <f>IF(B5="","",IFERROR(INDEX('Jobs'!$B$2:$B$13,MATCH(B5,'Jobs'!$A$2:$A$13,0)),"Unknown job ID"))</f>
        <v/>
      </c>
    </row>
    <row r="6">
      <c r="A6" s="26" t="n">
        <v>46412</v>
      </c>
      <c r="B6" s="27" t="inlineStr">
        <is>
          <t>J-001</t>
        </is>
      </c>
      <c r="C6" s="27" t="inlineStr">
        <is>
          <t>Ana Silva</t>
        </is>
      </c>
      <c r="D6" s="43" t="n">
        <v>8</v>
      </c>
      <c r="E6" s="27" t="inlineStr">
        <is>
          <t>Work on site</t>
        </is>
      </c>
      <c r="F6" s="30">
        <f>IF(B6="","",IFERROR(INDEX('Jobs'!$B$2:$B$13,MATCH(B6,'Jobs'!$A$2:$A$13,0)),"Unknown job ID"))</f>
        <v/>
      </c>
    </row>
    <row r="7">
      <c r="A7" s="26" t="n">
        <v>46415</v>
      </c>
      <c r="B7" s="27" t="inlineStr">
        <is>
          <t>J-001</t>
        </is>
      </c>
      <c r="C7" s="27" t="inlineStr">
        <is>
          <t>Ana Silva</t>
        </is>
      </c>
      <c r="D7" s="43" t="n">
        <v>7</v>
      </c>
      <c r="E7" s="27" t="inlineStr">
        <is>
          <t>Work on site</t>
        </is>
      </c>
      <c r="F7" s="30">
        <f>IF(B7="","",IFERROR(INDEX('Jobs'!$B$2:$B$13,MATCH(B7,'Jobs'!$A$2:$A$13,0)),"Unknown job ID"))</f>
        <v/>
      </c>
    </row>
    <row r="8">
      <c r="A8" s="26" t="n">
        <v>46416</v>
      </c>
      <c r="B8" s="27" t="inlineStr">
        <is>
          <t>J-001</t>
        </is>
      </c>
      <c r="C8" s="27" t="inlineStr">
        <is>
          <t>Ana Silva</t>
        </is>
      </c>
      <c r="D8" s="43" t="n">
        <v>4</v>
      </c>
      <c r="E8" s="27" t="inlineStr">
        <is>
          <t>Work on site</t>
        </is>
      </c>
      <c r="F8" s="30">
        <f>IF(B8="","",IFERROR(INDEX('Jobs'!$B$2:$B$13,MATCH(B8,'Jobs'!$A$2:$A$13,0)),"Unknown job ID"))</f>
        <v/>
      </c>
    </row>
    <row r="9">
      <c r="A9" s="26" t="n">
        <v>46408</v>
      </c>
      <c r="B9" s="27" t="inlineStr">
        <is>
          <t>J-001</t>
        </is>
      </c>
      <c r="C9" s="27" t="inlineStr">
        <is>
          <t>Bruno Costa</t>
        </is>
      </c>
      <c r="D9" s="43" t="n">
        <v>8</v>
      </c>
      <c r="E9" s="27" t="inlineStr">
        <is>
          <t>Work on site</t>
        </is>
      </c>
      <c r="F9" s="30">
        <f>IF(B9="","",IFERROR(INDEX('Jobs'!$B$2:$B$13,MATCH(B9,'Jobs'!$A$2:$A$13,0)),"Unknown job ID"))</f>
        <v/>
      </c>
    </row>
    <row r="10">
      <c r="A10" s="26" t="n">
        <v>46409</v>
      </c>
      <c r="B10" s="27" t="inlineStr">
        <is>
          <t>J-001</t>
        </is>
      </c>
      <c r="C10" s="27" t="inlineStr">
        <is>
          <t>Bruno Costa</t>
        </is>
      </c>
      <c r="D10" s="43" t="n">
        <v>8</v>
      </c>
      <c r="E10" s="27" t="inlineStr">
        <is>
          <t>Work on site</t>
        </is>
      </c>
      <c r="F10" s="30">
        <f>IF(B10="","",IFERROR(INDEX('Jobs'!$B$2:$B$13,MATCH(B10,'Jobs'!$A$2:$A$13,0)),"Unknown job ID"))</f>
        <v/>
      </c>
    </row>
    <row r="11">
      <c r="A11" s="26" t="n">
        <v>46410</v>
      </c>
      <c r="B11" s="27" t="inlineStr">
        <is>
          <t>J-001</t>
        </is>
      </c>
      <c r="C11" s="27" t="inlineStr">
        <is>
          <t>Bruno Costa</t>
        </is>
      </c>
      <c r="D11" s="43" t="n">
        <v>6</v>
      </c>
      <c r="E11" s="27" t="inlineStr">
        <is>
          <t>Work on site</t>
        </is>
      </c>
      <c r="F11" s="30">
        <f>IF(B11="","",IFERROR(INDEX('Jobs'!$B$2:$B$13,MATCH(B11,'Jobs'!$A$2:$A$13,0)),"Unknown job ID"))</f>
        <v/>
      </c>
    </row>
    <row r="12">
      <c r="A12" s="26" t="n">
        <v>46421</v>
      </c>
      <c r="B12" s="27" t="inlineStr">
        <is>
          <t>J-002</t>
        </is>
      </c>
      <c r="C12" s="27" t="inlineStr">
        <is>
          <t>Bruno Costa</t>
        </is>
      </c>
      <c r="D12" s="43" t="n">
        <v>4</v>
      </c>
      <c r="E12" s="27" t="inlineStr">
        <is>
          <t>Work on site</t>
        </is>
      </c>
      <c r="F12" s="30">
        <f>IF(B12="","",IFERROR(INDEX('Jobs'!$B$2:$B$13,MATCH(B12,'Jobs'!$A$2:$A$13,0)),"Unknown job ID"))</f>
        <v/>
      </c>
    </row>
    <row r="13">
      <c r="A13" s="26" t="n">
        <v>46422</v>
      </c>
      <c r="B13" s="27" t="inlineStr">
        <is>
          <t>J-002</t>
        </is>
      </c>
      <c r="C13" s="27" t="inlineStr">
        <is>
          <t>Bruno Costa</t>
        </is>
      </c>
      <c r="D13" s="43" t="n">
        <v>3</v>
      </c>
      <c r="E13" s="27" t="inlineStr">
        <is>
          <t>Work on site</t>
        </is>
      </c>
      <c r="F13" s="30">
        <f>IF(B13="","",IFERROR(INDEX('Jobs'!$B$2:$B$13,MATCH(B13,'Jobs'!$A$2:$A$13,0)),"Unknown job ID"))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F2:F13">
    <cfRule type="cellIs" priority="1" operator="equal" dxfId="0">
      <formula>"Unknown job ID"</formula>
    </cfRule>
  </conditionalFormatting>
  <dataValidations count="3">
    <dataValidation sqref="B2:B13" showDropDown="0" showInputMessage="0" showErrorMessage="1" allowBlank="1" errorTitle="Not in the list" error="Choose a value from the list (edit lists in Settings)." type="list">
      <formula1>='Jobs'!$A$2:$A$13</formula1>
    </dataValidation>
    <dataValidation sqref="C2:C13" showDropDown="0" showInputMessage="0" showErrorMessage="1" allowBlank="1" errorTitle="Not in the list" error="Choose a value from the list (edit lists in Settings)." type="list">
      <formula1>=TeamList</formula1>
    </dataValidation>
    <dataValidation sqref="D2:D13" showDropDown="0" showInputMessage="0" showErrorMessage="1" allowBlank="1" error="Enter a number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3"/>
  <sheetViews>
    <sheetView tabSelected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8" customWidth="1" min="4" max="4"/>
    <col width="18" customWidth="1" min="5" max="5"/>
    <col width="12" customWidth="1" min="6" max="6"/>
    <col width="10" customWidth="1" min="7" max="7"/>
    <col width="10" customWidth="1" min="8" max="8"/>
    <col width="10" customWidth="1" min="9" max="9"/>
    <col width="11" customWidth="1" min="10" max="10"/>
    <col width="10" customWidth="1" min="11" max="11"/>
    <col width="11" customWidth="1" min="12" max="12"/>
    <col width="12" customWidth="1" min="13" max="13"/>
    <col width="13" customWidth="1" min="14" max="14"/>
    <col width="13" customWidth="1" min="15" max="15"/>
    <col width="12" customWidth="1" min="16" max="16"/>
  </cols>
  <sheetData>
    <row r="1" ht="32" customHeight="1">
      <c r="A1" s="21" t="inlineStr">
        <is>
          <t>Item code</t>
        </is>
      </c>
      <c r="B1" s="21" t="inlineStr">
        <is>
          <t>Item</t>
        </is>
      </c>
      <c r="C1" s="21" t="inlineStr">
        <is>
          <t>Category</t>
        </is>
      </c>
      <c r="D1" s="21" t="inlineStr">
        <is>
          <t>Unit</t>
        </is>
      </c>
      <c r="E1" s="21" t="inlineStr">
        <is>
          <t>Supplier</t>
        </is>
      </c>
      <c r="F1" s="21" t="inlineStr">
        <is>
          <t>Unit cost €</t>
        </is>
      </c>
      <c r="G1" s="21" t="inlineStr">
        <is>
          <t>Opening stock</t>
        </is>
      </c>
      <c r="H1" s="21" t="inlineStr">
        <is>
          <t>Received</t>
        </is>
      </c>
      <c r="I1" s="21" t="inlineStr">
        <is>
          <t>Issued</t>
        </is>
      </c>
      <c r="J1" s="21" t="inlineStr">
        <is>
          <t>Adjustments</t>
        </is>
      </c>
      <c r="K1" s="21" t="inlineStr">
        <is>
          <t>Current stock</t>
        </is>
      </c>
      <c r="L1" s="21" t="inlineStr">
        <is>
          <t>Reorder level</t>
        </is>
      </c>
      <c r="M1" s="21" t="inlineStr">
        <is>
          <t>Usual order quantity</t>
        </is>
      </c>
      <c r="N1" s="21" t="inlineStr">
        <is>
          <t>Status</t>
        </is>
      </c>
      <c r="O1" s="21" t="inlineStr">
        <is>
          <t>Stock value €</t>
        </is>
      </c>
      <c r="P1" s="21" t="inlineStr">
        <is>
          <t>Reorder list order (helper)</t>
        </is>
      </c>
    </row>
    <row r="2">
      <c r="A2" s="27" t="inlineStr">
        <is>
          <t>MAD-01</t>
        </is>
      </c>
      <c r="B2" s="27" t="inlineStr">
        <is>
          <t>Pine board 2 m</t>
        </is>
      </c>
      <c r="C2" s="27" t="inlineStr">
        <is>
          <t>Raw materials</t>
        </is>
      </c>
      <c r="D2" s="27" t="inlineStr">
        <is>
          <t>pcs</t>
        </is>
      </c>
      <c r="E2" s="27" t="inlineStr">
        <is>
          <t>Madeiras Norte</t>
        </is>
      </c>
      <c r="F2" s="28" t="n">
        <v>8.5</v>
      </c>
      <c r="G2" s="43" t="n">
        <v>40</v>
      </c>
      <c r="H2" s="44">
        <f>IF(A2="","",SUMIFS('Stock movements'!$E$2:$E$13,'Stock movements'!$B$2:$B$13,A2,'Stock movements'!$D$2:$D$13,"Received"))</f>
        <v/>
      </c>
      <c r="I2" s="44">
        <f>IF(A2="","",SUMIFS('Stock movements'!$E$2:$E$13,'Stock movements'!$B$2:$B$13,A2,'Stock movements'!$D$2:$D$13,"Issued"))</f>
        <v/>
      </c>
      <c r="J2" s="44">
        <f>IF(A2="","",SUMIFS('Stock movements'!$E$2:$E$13,'Stock movements'!$B$2:$B$13,A2,'Stock movements'!$D$2:$D$13,"Adjustment"))</f>
        <v/>
      </c>
      <c r="K2" s="44">
        <f>IF(A2="","",N(G2)+H2-I2+J2)</f>
        <v/>
      </c>
      <c r="L2" s="43" t="n">
        <v>20</v>
      </c>
      <c r="M2" s="43" t="n">
        <v>40</v>
      </c>
      <c r="N2" s="30">
        <f>IF(A2="","",IF(K2&lt;=0,"Out of stock",IF(K2&lt;=N(L2),"Reorder","OK")))</f>
        <v/>
      </c>
      <c r="O2" s="39">
        <f>IF(A2="","",MAX(0,K2)*N(F2))</f>
        <v/>
      </c>
      <c r="P2" s="29">
        <f>IF(OR(A2="",N2="OK"),"",COUNTIF($N$2:N2,"Reorder")+COUNTIF($N$2:N2,"Out of stock"))</f>
        <v/>
      </c>
    </row>
    <row r="3">
      <c r="A3" s="27" t="inlineStr">
        <is>
          <t>MAD-02</t>
        </is>
      </c>
      <c r="B3" s="27" t="inlineStr">
        <is>
          <t>Oak board 2 m</t>
        </is>
      </c>
      <c r="C3" s="27" t="inlineStr">
        <is>
          <t>Raw materials</t>
        </is>
      </c>
      <c r="D3" s="27" t="inlineStr">
        <is>
          <t>pcs</t>
        </is>
      </c>
      <c r="E3" s="27" t="inlineStr">
        <is>
          <t>Madeiras Norte</t>
        </is>
      </c>
      <c r="F3" s="28" t="n">
        <v>24</v>
      </c>
      <c r="G3" s="43" t="n">
        <v>12</v>
      </c>
      <c r="H3" s="44">
        <f>IF(A3="","",SUMIFS('Stock movements'!$E$2:$E$13,'Stock movements'!$B$2:$B$13,A3,'Stock movements'!$D$2:$D$13,"Received"))</f>
        <v/>
      </c>
      <c r="I3" s="44">
        <f>IF(A3="","",SUMIFS('Stock movements'!$E$2:$E$13,'Stock movements'!$B$2:$B$13,A3,'Stock movements'!$D$2:$D$13,"Issued"))</f>
        <v/>
      </c>
      <c r="J3" s="44">
        <f>IF(A3="","",SUMIFS('Stock movements'!$E$2:$E$13,'Stock movements'!$B$2:$B$13,A3,'Stock movements'!$D$2:$D$13,"Adjustment"))</f>
        <v/>
      </c>
      <c r="K3" s="44">
        <f>IF(A3="","",N(G3)+H3-I3+J3)</f>
        <v/>
      </c>
      <c r="L3" s="43" t="n">
        <v>8</v>
      </c>
      <c r="M3" s="43" t="n">
        <v>10</v>
      </c>
      <c r="N3" s="30">
        <f>IF(A3="","",IF(K3&lt;=0,"Out of stock",IF(K3&lt;=N(L3),"Reorder","OK")))</f>
        <v/>
      </c>
      <c r="O3" s="39">
        <f>IF(A3="","",MAX(0,K3)*N(F3))</f>
        <v/>
      </c>
      <c r="P3" s="29">
        <f>IF(OR(A3="",N3="OK"),"",COUNTIF($N$2:N3,"Reorder")+COUNTIF($N$2:N3,"Out of stock"))</f>
        <v/>
      </c>
    </row>
    <row r="4">
      <c r="A4" s="27" t="inlineStr">
        <is>
          <t>FER-01</t>
        </is>
      </c>
      <c r="B4" s="27" t="inlineStr">
        <is>
          <t>Wood screws 4x40 (box 200)</t>
        </is>
      </c>
      <c r="C4" s="27" t="inlineStr">
        <is>
          <t>Consumables</t>
        </is>
      </c>
      <c r="D4" s="27" t="inlineStr">
        <is>
          <t>box</t>
        </is>
      </c>
      <c r="E4" s="27" t="inlineStr">
        <is>
          <t>Ferragens Lda</t>
        </is>
      </c>
      <c r="F4" s="28" t="n">
        <v>6.2</v>
      </c>
      <c r="G4" s="43" t="n">
        <v>15</v>
      </c>
      <c r="H4" s="44">
        <f>IF(A4="","",SUMIFS('Stock movements'!$E$2:$E$13,'Stock movements'!$B$2:$B$13,A4,'Stock movements'!$D$2:$D$13,"Received"))</f>
        <v/>
      </c>
      <c r="I4" s="44">
        <f>IF(A4="","",SUMIFS('Stock movements'!$E$2:$E$13,'Stock movements'!$B$2:$B$13,A4,'Stock movements'!$D$2:$D$13,"Issued"))</f>
        <v/>
      </c>
      <c r="J4" s="44">
        <f>IF(A4="","",SUMIFS('Stock movements'!$E$2:$E$13,'Stock movements'!$B$2:$B$13,A4,'Stock movements'!$D$2:$D$13,"Adjustment"))</f>
        <v/>
      </c>
      <c r="K4" s="44">
        <f>IF(A4="","",N(G4)+H4-I4+J4)</f>
        <v/>
      </c>
      <c r="L4" s="43" t="n">
        <v>5</v>
      </c>
      <c r="M4" s="43" t="n">
        <v>10</v>
      </c>
      <c r="N4" s="30">
        <f>IF(A4="","",IF(K4&lt;=0,"Out of stock",IF(K4&lt;=N(L4),"Reorder","OK")))</f>
        <v/>
      </c>
      <c r="O4" s="39">
        <f>IF(A4="","",MAX(0,K4)*N(F4))</f>
        <v/>
      </c>
      <c r="P4" s="29">
        <f>IF(OR(A4="",N4="OK"),"",COUNTIF($N$2:N4,"Reorder")+COUNTIF($N$2:N4,"Out of stock"))</f>
        <v/>
      </c>
    </row>
    <row r="5">
      <c r="A5" s="27" t="inlineStr">
        <is>
          <t>FER-02</t>
        </is>
      </c>
      <c r="B5" s="27" t="inlineStr">
        <is>
          <t>Soft-close hinges</t>
        </is>
      </c>
      <c r="C5" s="27" t="inlineStr">
        <is>
          <t>Raw materials</t>
        </is>
      </c>
      <c r="D5" s="27" t="inlineStr">
        <is>
          <t>pcs</t>
        </is>
      </c>
      <c r="E5" s="27" t="inlineStr">
        <is>
          <t>Ferragens Lda</t>
        </is>
      </c>
      <c r="F5" s="28" t="n">
        <v>3.9</v>
      </c>
      <c r="G5" s="43" t="n">
        <v>30</v>
      </c>
      <c r="H5" s="44">
        <f>IF(A5="","",SUMIFS('Stock movements'!$E$2:$E$13,'Stock movements'!$B$2:$B$13,A5,'Stock movements'!$D$2:$D$13,"Received"))</f>
        <v/>
      </c>
      <c r="I5" s="44">
        <f>IF(A5="","",SUMIFS('Stock movements'!$E$2:$E$13,'Stock movements'!$B$2:$B$13,A5,'Stock movements'!$D$2:$D$13,"Issued"))</f>
        <v/>
      </c>
      <c r="J5" s="44">
        <f>IF(A5="","",SUMIFS('Stock movements'!$E$2:$E$13,'Stock movements'!$B$2:$B$13,A5,'Stock movements'!$D$2:$D$13,"Adjustment"))</f>
        <v/>
      </c>
      <c r="K5" s="44">
        <f>IF(A5="","",N(G5)+H5-I5+J5)</f>
        <v/>
      </c>
      <c r="L5" s="43" t="n">
        <v>20</v>
      </c>
      <c r="M5" s="43" t="n">
        <v>50</v>
      </c>
      <c r="N5" s="30">
        <f>IF(A5="","",IF(K5&lt;=0,"Out of stock",IF(K5&lt;=N(L5),"Reorder","OK")))</f>
        <v/>
      </c>
      <c r="O5" s="39">
        <f>IF(A5="","",MAX(0,K5)*N(F5))</f>
        <v/>
      </c>
      <c r="P5" s="29">
        <f>IF(OR(A5="",N5="OK"),"",COUNTIF($N$2:N5,"Reorder")+COUNTIF($N$2:N5,"Out of stock"))</f>
        <v/>
      </c>
    </row>
    <row r="6">
      <c r="A6" s="27" t="inlineStr">
        <is>
          <t>VER-01</t>
        </is>
      </c>
      <c r="B6" s="27" t="inlineStr">
        <is>
          <t>Varnish 5 L</t>
        </is>
      </c>
      <c r="C6" s="27" t="inlineStr">
        <is>
          <t>Consumables</t>
        </is>
      </c>
      <c r="D6" s="27" t="inlineStr">
        <is>
          <t>pcs</t>
        </is>
      </c>
      <c r="E6" s="27" t="inlineStr">
        <is>
          <t>Tintas Sol</t>
        </is>
      </c>
      <c r="F6" s="28" t="n">
        <v>38</v>
      </c>
      <c r="G6" s="43" t="n">
        <v>4</v>
      </c>
      <c r="H6" s="44">
        <f>IF(A6="","",SUMIFS('Stock movements'!$E$2:$E$13,'Stock movements'!$B$2:$B$13,A6,'Stock movements'!$D$2:$D$13,"Received"))</f>
        <v/>
      </c>
      <c r="I6" s="44">
        <f>IF(A6="","",SUMIFS('Stock movements'!$E$2:$E$13,'Stock movements'!$B$2:$B$13,A6,'Stock movements'!$D$2:$D$13,"Issued"))</f>
        <v/>
      </c>
      <c r="J6" s="44">
        <f>IF(A6="","",SUMIFS('Stock movements'!$E$2:$E$13,'Stock movements'!$B$2:$B$13,A6,'Stock movements'!$D$2:$D$13,"Adjustment"))</f>
        <v/>
      </c>
      <c r="K6" s="44">
        <f>IF(A6="","",N(G6)+H6-I6+J6)</f>
        <v/>
      </c>
      <c r="L6" s="43" t="n">
        <v>2</v>
      </c>
      <c r="M6" s="43" t="n">
        <v>4</v>
      </c>
      <c r="N6" s="30">
        <f>IF(A6="","",IF(K6&lt;=0,"Out of stock",IF(K6&lt;=N(L6),"Reorder","OK")))</f>
        <v/>
      </c>
      <c r="O6" s="39">
        <f>IF(A6="","",MAX(0,K6)*N(F6))</f>
        <v/>
      </c>
      <c r="P6" s="29">
        <f>IF(OR(A6="",N6="OK"),"",COUNTIF($N$2:N6,"Reorder")+COUNTIF($N$2:N6,"Out of stock"))</f>
        <v/>
      </c>
    </row>
    <row r="7">
      <c r="A7" s="27" t="inlineStr">
        <is>
          <t>EMB-01</t>
        </is>
      </c>
      <c r="B7" s="27" t="inlineStr">
        <is>
          <t>Protective film roll</t>
        </is>
      </c>
      <c r="C7" s="27" t="inlineStr">
        <is>
          <t>Packaging</t>
        </is>
      </c>
      <c r="D7" s="27" t="inlineStr">
        <is>
          <t>m</t>
        </is>
      </c>
      <c r="E7" s="27" t="inlineStr">
        <is>
          <t>Embala+</t>
        </is>
      </c>
      <c r="F7" s="28" t="n">
        <v>12</v>
      </c>
      <c r="G7" s="43" t="n">
        <v>6</v>
      </c>
      <c r="H7" s="44">
        <f>IF(A7="","",SUMIFS('Stock movements'!$E$2:$E$13,'Stock movements'!$B$2:$B$13,A7,'Stock movements'!$D$2:$D$13,"Received"))</f>
        <v/>
      </c>
      <c r="I7" s="44">
        <f>IF(A7="","",SUMIFS('Stock movements'!$E$2:$E$13,'Stock movements'!$B$2:$B$13,A7,'Stock movements'!$D$2:$D$13,"Issued"))</f>
        <v/>
      </c>
      <c r="J7" s="44">
        <f>IF(A7="","",SUMIFS('Stock movements'!$E$2:$E$13,'Stock movements'!$B$2:$B$13,A7,'Stock movements'!$D$2:$D$13,"Adjustment"))</f>
        <v/>
      </c>
      <c r="K7" s="44">
        <f>IF(A7="","",N(G7)+H7-I7+J7)</f>
        <v/>
      </c>
      <c r="L7" s="43" t="n">
        <v>3</v>
      </c>
      <c r="M7" s="43" t="n">
        <v>6</v>
      </c>
      <c r="N7" s="30">
        <f>IF(A7="","",IF(K7&lt;=0,"Out of stock",IF(K7&lt;=N(L7),"Reorder","OK")))</f>
        <v/>
      </c>
      <c r="O7" s="39">
        <f>IF(A7="","",MAX(0,K7)*N(F7))</f>
        <v/>
      </c>
      <c r="P7" s="29">
        <f>IF(OR(A7="",N7="OK"),"",COUNTIF($N$2:N7,"Reorder")+COUNTIF($N$2:N7,"Out of stock"))</f>
        <v/>
      </c>
    </row>
    <row r="8">
      <c r="A8" s="27" t="n"/>
      <c r="B8" s="27" t="n"/>
      <c r="C8" s="27" t="n"/>
      <c r="D8" s="27" t="n"/>
      <c r="E8" s="27" t="n"/>
      <c r="F8" s="28" t="n"/>
      <c r="G8" s="43" t="n"/>
      <c r="H8" s="44">
        <f>IF(A8="","",SUMIFS('Stock movements'!$E$2:$E$13,'Stock movements'!$B$2:$B$13,A8,'Stock movements'!$D$2:$D$13,"Received"))</f>
        <v/>
      </c>
      <c r="I8" s="44">
        <f>IF(A8="","",SUMIFS('Stock movements'!$E$2:$E$13,'Stock movements'!$B$2:$B$13,A8,'Stock movements'!$D$2:$D$13,"Issued"))</f>
        <v/>
      </c>
      <c r="J8" s="44">
        <f>IF(A8="","",SUMIFS('Stock movements'!$E$2:$E$13,'Stock movements'!$B$2:$B$13,A8,'Stock movements'!$D$2:$D$13,"Adjustment"))</f>
        <v/>
      </c>
      <c r="K8" s="44">
        <f>IF(A8="","",N(G8)+H8-I8+J8)</f>
        <v/>
      </c>
      <c r="L8" s="43" t="n"/>
      <c r="M8" s="43" t="n"/>
      <c r="N8" s="30">
        <f>IF(A8="","",IF(K8&lt;=0,"Out of stock",IF(K8&lt;=N(L8),"Reorder","OK")))</f>
        <v/>
      </c>
      <c r="O8" s="39">
        <f>IF(A8="","",MAX(0,K8)*N(F8))</f>
        <v/>
      </c>
      <c r="P8" s="29">
        <f>IF(OR(A8="",N8="OK"),"",COUNTIF($N$2:N8,"Reorder")+COUNTIF($N$2:N8,"Out of stock"))</f>
        <v/>
      </c>
    </row>
    <row r="9">
      <c r="A9" s="27" t="n"/>
      <c r="B9" s="27" t="n"/>
      <c r="C9" s="27" t="n"/>
      <c r="D9" s="27" t="n"/>
      <c r="E9" s="27" t="n"/>
      <c r="F9" s="28" t="n"/>
      <c r="G9" s="43" t="n"/>
      <c r="H9" s="44">
        <f>IF(A9="","",SUMIFS('Stock movements'!$E$2:$E$13,'Stock movements'!$B$2:$B$13,A9,'Stock movements'!$D$2:$D$13,"Received"))</f>
        <v/>
      </c>
      <c r="I9" s="44">
        <f>IF(A9="","",SUMIFS('Stock movements'!$E$2:$E$13,'Stock movements'!$B$2:$B$13,A9,'Stock movements'!$D$2:$D$13,"Issued"))</f>
        <v/>
      </c>
      <c r="J9" s="44">
        <f>IF(A9="","",SUMIFS('Stock movements'!$E$2:$E$13,'Stock movements'!$B$2:$B$13,A9,'Stock movements'!$D$2:$D$13,"Adjustment"))</f>
        <v/>
      </c>
      <c r="K9" s="44">
        <f>IF(A9="","",N(G9)+H9-I9+J9)</f>
        <v/>
      </c>
      <c r="L9" s="43" t="n"/>
      <c r="M9" s="43" t="n"/>
      <c r="N9" s="30">
        <f>IF(A9="","",IF(K9&lt;=0,"Out of stock",IF(K9&lt;=N(L9),"Reorder","OK")))</f>
        <v/>
      </c>
      <c r="O9" s="39">
        <f>IF(A9="","",MAX(0,K9)*N(F9))</f>
        <v/>
      </c>
      <c r="P9" s="29">
        <f>IF(OR(A9="",N9="OK"),"",COUNTIF($N$2:N9,"Reorder")+COUNTIF($N$2:N9,"Out of stock"))</f>
        <v/>
      </c>
    </row>
    <row r="10">
      <c r="A10" s="27" t="n"/>
      <c r="B10" s="27" t="n"/>
      <c r="C10" s="27" t="n"/>
      <c r="D10" s="27" t="n"/>
      <c r="E10" s="27" t="n"/>
      <c r="F10" s="28" t="n"/>
      <c r="G10" s="43" t="n"/>
      <c r="H10" s="44">
        <f>IF(A10="","",SUMIFS('Stock movements'!$E$2:$E$13,'Stock movements'!$B$2:$B$13,A10,'Stock movements'!$D$2:$D$13,"Received"))</f>
        <v/>
      </c>
      <c r="I10" s="44">
        <f>IF(A10="","",SUMIFS('Stock movements'!$E$2:$E$13,'Stock movements'!$B$2:$B$13,A10,'Stock movements'!$D$2:$D$13,"Issued"))</f>
        <v/>
      </c>
      <c r="J10" s="44">
        <f>IF(A10="","",SUMIFS('Stock movements'!$E$2:$E$13,'Stock movements'!$B$2:$B$13,A10,'Stock movements'!$D$2:$D$13,"Adjustment"))</f>
        <v/>
      </c>
      <c r="K10" s="44">
        <f>IF(A10="","",N(G10)+H10-I10+J10)</f>
        <v/>
      </c>
      <c r="L10" s="43" t="n"/>
      <c r="M10" s="43" t="n"/>
      <c r="N10" s="30">
        <f>IF(A10="","",IF(K10&lt;=0,"Out of stock",IF(K10&lt;=N(L10),"Reorder","OK")))</f>
        <v/>
      </c>
      <c r="O10" s="39">
        <f>IF(A10="","",MAX(0,K10)*N(F10))</f>
        <v/>
      </c>
      <c r="P10" s="29">
        <f>IF(OR(A10="",N10="OK"),"",COUNTIF($N$2:N10,"Reorder")+COUNTIF($N$2:N10,"Out of stock"))</f>
        <v/>
      </c>
    </row>
    <row r="11">
      <c r="A11" s="27" t="n"/>
      <c r="B11" s="27" t="n"/>
      <c r="C11" s="27" t="n"/>
      <c r="D11" s="27" t="n"/>
      <c r="E11" s="27" t="n"/>
      <c r="F11" s="28" t="n"/>
      <c r="G11" s="43" t="n"/>
      <c r="H11" s="44">
        <f>IF(A11="","",SUMIFS('Stock movements'!$E$2:$E$13,'Stock movements'!$B$2:$B$13,A11,'Stock movements'!$D$2:$D$13,"Received"))</f>
        <v/>
      </c>
      <c r="I11" s="44">
        <f>IF(A11="","",SUMIFS('Stock movements'!$E$2:$E$13,'Stock movements'!$B$2:$B$13,A11,'Stock movements'!$D$2:$D$13,"Issued"))</f>
        <v/>
      </c>
      <c r="J11" s="44">
        <f>IF(A11="","",SUMIFS('Stock movements'!$E$2:$E$13,'Stock movements'!$B$2:$B$13,A11,'Stock movements'!$D$2:$D$13,"Adjustment"))</f>
        <v/>
      </c>
      <c r="K11" s="44">
        <f>IF(A11="","",N(G11)+H11-I11+J11)</f>
        <v/>
      </c>
      <c r="L11" s="43" t="n"/>
      <c r="M11" s="43" t="n"/>
      <c r="N11" s="30">
        <f>IF(A11="","",IF(K11&lt;=0,"Out of stock",IF(K11&lt;=N(L11),"Reorder","OK")))</f>
        <v/>
      </c>
      <c r="O11" s="39">
        <f>IF(A11="","",MAX(0,K11)*N(F11))</f>
        <v/>
      </c>
      <c r="P11" s="29">
        <f>IF(OR(A11="",N11="OK"),"",COUNTIF($N$2:N11,"Reorder")+COUNTIF($N$2:N11,"Out of stock"))</f>
        <v/>
      </c>
    </row>
    <row r="12">
      <c r="A12" s="27" t="n"/>
      <c r="B12" s="27" t="n"/>
      <c r="C12" s="27" t="n"/>
      <c r="D12" s="27" t="n"/>
      <c r="E12" s="27" t="n"/>
      <c r="F12" s="28" t="n"/>
      <c r="G12" s="43" t="n"/>
      <c r="H12" s="44">
        <f>IF(A12="","",SUMIFS('Stock movements'!$E$2:$E$13,'Stock movements'!$B$2:$B$13,A12,'Stock movements'!$D$2:$D$13,"Received"))</f>
        <v/>
      </c>
      <c r="I12" s="44">
        <f>IF(A12="","",SUMIFS('Stock movements'!$E$2:$E$13,'Stock movements'!$B$2:$B$13,A12,'Stock movements'!$D$2:$D$13,"Issued"))</f>
        <v/>
      </c>
      <c r="J12" s="44">
        <f>IF(A12="","",SUMIFS('Stock movements'!$E$2:$E$13,'Stock movements'!$B$2:$B$13,A12,'Stock movements'!$D$2:$D$13,"Adjustment"))</f>
        <v/>
      </c>
      <c r="K12" s="44">
        <f>IF(A12="","",N(G12)+H12-I12+J12)</f>
        <v/>
      </c>
      <c r="L12" s="43" t="n"/>
      <c r="M12" s="43" t="n"/>
      <c r="N12" s="30">
        <f>IF(A12="","",IF(K12&lt;=0,"Out of stock",IF(K12&lt;=N(L12),"Reorder","OK")))</f>
        <v/>
      </c>
      <c r="O12" s="39">
        <f>IF(A12="","",MAX(0,K12)*N(F12))</f>
        <v/>
      </c>
      <c r="P12" s="29">
        <f>IF(OR(A12="",N12="OK"),"",COUNTIF($N$2:N12,"Reorder")+COUNTIF($N$2:N12,"Out of stock"))</f>
        <v/>
      </c>
    </row>
    <row r="13">
      <c r="A13" s="27" t="n"/>
      <c r="B13" s="27" t="n"/>
      <c r="C13" s="27" t="n"/>
      <c r="D13" s="27" t="n"/>
      <c r="E13" s="27" t="n"/>
      <c r="F13" s="28" t="n"/>
      <c r="G13" s="43" t="n"/>
      <c r="H13" s="44">
        <f>IF(A13="","",SUMIFS('Stock movements'!$E$2:$E$13,'Stock movements'!$B$2:$B$13,A13,'Stock movements'!$D$2:$D$13,"Received"))</f>
        <v/>
      </c>
      <c r="I13" s="44">
        <f>IF(A13="","",SUMIFS('Stock movements'!$E$2:$E$13,'Stock movements'!$B$2:$B$13,A13,'Stock movements'!$D$2:$D$13,"Issued"))</f>
        <v/>
      </c>
      <c r="J13" s="44">
        <f>IF(A13="","",SUMIFS('Stock movements'!$E$2:$E$13,'Stock movements'!$B$2:$B$13,A13,'Stock movements'!$D$2:$D$13,"Adjustment"))</f>
        <v/>
      </c>
      <c r="K13" s="44">
        <f>IF(A13="","",N(G13)+H13-I13+J13)</f>
        <v/>
      </c>
      <c r="L13" s="43" t="n"/>
      <c r="M13" s="43" t="n"/>
      <c r="N13" s="30">
        <f>IF(A13="","",IF(K13&lt;=0,"Out of stock",IF(K13&lt;=N(L13),"Reorder","OK")))</f>
        <v/>
      </c>
      <c r="O13" s="39">
        <f>IF(A13="","",MAX(0,K13)*N(F13))</f>
        <v/>
      </c>
      <c r="P13" s="29">
        <f>IF(OR(A13="",N13="OK"),"",COUNTIF($N$2:N13,"Reorder")+COUNTIF($N$2:N13,"Out of stock"))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N2:N13">
    <cfRule type="cellIs" priority="1" operator="equal" dxfId="0">
      <formula>"Out of stock"</formula>
    </cfRule>
    <cfRule type="cellIs" priority="2" operator="equal" dxfId="1">
      <formula>"Reorder"</formula>
    </cfRule>
  </conditionalFormatting>
  <dataValidations count="6">
    <dataValidation sqref="C2:C13" showDropDown="0" showInputMessage="0" showErrorMessage="1" allowBlank="1" errorTitle="Not in the list" error="Choose a value from the list (edit lists in Settings)." type="list">
      <formula1>=ItemCatList</formula1>
    </dataValidation>
    <dataValidation sqref="D2:D13" showDropDown="0" showInputMessage="0" showErrorMessage="1" allowBlank="1" errorTitle="Not in the list" error="Choose a value from the list (edit lists in Settings)." type="list">
      <formula1>=UnitList</formula1>
    </dataValidation>
    <dataValidation sqref="F2:F13" showDropDown="0" showInputMessage="0" showErrorMessage="1" allowBlank="1" error="Enter a number." type="decimal" operator="greaterThanOrEqual">
      <formula1>0</formula1>
    </dataValidation>
    <dataValidation sqref="G2:G13" showDropDown="0" showInputMessage="0" showErrorMessage="1" allowBlank="1" error="Enter a number." type="decimal" operator="between">
      <formula1>-1000000000</formula1>
      <formula2>1000000000</formula2>
    </dataValidation>
    <dataValidation sqref="L2:L13" showDropDown="0" showInputMessage="0" showErrorMessage="1" allowBlank="1" error="Enter a number." type="decimal" operator="greaterThanOrEqual">
      <formula1>0</formula1>
    </dataValidation>
    <dataValidation sqref="M2:M13" showDropDown="0" showInputMessage="0" showErrorMessage="1" allowBlank="1" error="Enter a number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28" customWidth="1" min="3" max="3"/>
    <col width="12" customWidth="1" min="4" max="4"/>
    <col width="16" customWidth="1" min="5" max="5"/>
    <col width="16" customWidth="1" min="6" max="6"/>
    <col width="26" customWidth="1" min="7" max="7"/>
  </cols>
  <sheetData>
    <row r="1" ht="32" customHeight="1">
      <c r="A1" s="21" t="inlineStr">
        <is>
          <t>Date</t>
        </is>
      </c>
      <c r="B1" s="21" t="inlineStr">
        <is>
          <t>Item code</t>
        </is>
      </c>
      <c r="C1" s="21" t="inlineStr">
        <is>
          <t>Item</t>
        </is>
      </c>
      <c r="D1" s="21" t="inlineStr">
        <is>
          <t>Type</t>
        </is>
      </c>
      <c r="E1" s="21" t="inlineStr">
        <is>
          <t>Quantity (adjustments can be negative)</t>
        </is>
      </c>
      <c r="F1" s="21" t="inlineStr">
        <is>
          <t>Reference</t>
        </is>
      </c>
      <c r="G1" s="21" t="inlineStr">
        <is>
          <t>Notes</t>
        </is>
      </c>
    </row>
    <row r="2">
      <c r="A2" s="26" t="n">
        <v>46397</v>
      </c>
      <c r="B2" s="27" t="inlineStr">
        <is>
          <t>MAD-01</t>
        </is>
      </c>
      <c r="C2" s="30">
        <f>IF(B2="","",IFERROR(INDEX('Items'!$B$2:$B$13,MATCH(B2,'Items'!$A$2:$A$13,0)),"Unknown item code"))</f>
        <v/>
      </c>
      <c r="D2" s="27" t="inlineStr">
        <is>
          <t>Received</t>
        </is>
      </c>
      <c r="E2" s="43" t="n">
        <v>30</v>
      </c>
      <c r="F2" s="27" t="inlineStr">
        <is>
          <t>FT A/381</t>
        </is>
      </c>
      <c r="G2" s="27" t="n"/>
    </row>
    <row r="3">
      <c r="A3" s="26" t="n">
        <v>46409</v>
      </c>
      <c r="B3" s="27" t="inlineStr">
        <is>
          <t>MAD-01</t>
        </is>
      </c>
      <c r="C3" s="30">
        <f>IF(B3="","",IFERROR(INDEX('Items'!$B$2:$B$13,MATCH(B3,'Items'!$A$2:$A$13,0)),"Unknown item code"))</f>
        <v/>
      </c>
      <c r="D3" s="27" t="inlineStr">
        <is>
          <t>Issued</t>
        </is>
      </c>
      <c r="E3" s="43" t="n">
        <v>24</v>
      </c>
      <c r="F3" s="27" t="inlineStr">
        <is>
          <t>J-001</t>
        </is>
      </c>
      <c r="G3" s="27" t="n"/>
    </row>
    <row r="4">
      <c r="A4" s="26" t="n">
        <v>46409</v>
      </c>
      <c r="B4" s="27" t="inlineStr">
        <is>
          <t>FER-02</t>
        </is>
      </c>
      <c r="C4" s="30">
        <f>IF(B4="","",IFERROR(INDEX('Items'!$B$2:$B$13,MATCH(B4,'Items'!$A$2:$A$13,0)),"Unknown item code"))</f>
        <v/>
      </c>
      <c r="D4" s="27" t="inlineStr">
        <is>
          <t>Issued</t>
        </is>
      </c>
      <c r="E4" s="43" t="n">
        <v>12</v>
      </c>
      <c r="F4" s="27" t="inlineStr">
        <is>
          <t>J-001</t>
        </is>
      </c>
      <c r="G4" s="27" t="n"/>
    </row>
    <row r="5">
      <c r="A5" s="26" t="n">
        <v>46410</v>
      </c>
      <c r="B5" s="27" t="inlineStr">
        <is>
          <t>VER-01</t>
        </is>
      </c>
      <c r="C5" s="30">
        <f>IF(B5="","",IFERROR(INDEX('Items'!$B$2:$B$13,MATCH(B5,'Items'!$A$2:$A$13,0)),"Unknown item code"))</f>
        <v/>
      </c>
      <c r="D5" s="27" t="inlineStr">
        <is>
          <t>Issued</t>
        </is>
      </c>
      <c r="E5" s="43" t="n">
        <v>2</v>
      </c>
      <c r="F5" s="27" t="inlineStr">
        <is>
          <t>J-001</t>
        </is>
      </c>
      <c r="G5" s="27" t="n"/>
    </row>
    <row r="6">
      <c r="A6" s="26" t="n">
        <v>46422</v>
      </c>
      <c r="B6" s="27" t="inlineStr">
        <is>
          <t>FER-01</t>
        </is>
      </c>
      <c r="C6" s="30">
        <f>IF(B6="","",IFERROR(INDEX('Items'!$B$2:$B$13,MATCH(B6,'Items'!$A$2:$A$13,0)),"Unknown item code"))</f>
        <v/>
      </c>
      <c r="D6" s="27" t="inlineStr">
        <is>
          <t>Issued</t>
        </is>
      </c>
      <c r="E6" s="43" t="n">
        <v>11</v>
      </c>
      <c r="F6" s="27" t="inlineStr">
        <is>
          <t>J-002</t>
        </is>
      </c>
      <c r="G6" s="27" t="n"/>
    </row>
    <row r="7">
      <c r="A7" s="26" t="n">
        <v>46438</v>
      </c>
      <c r="B7" s="27" t="inlineStr">
        <is>
          <t>MAD-02</t>
        </is>
      </c>
      <c r="C7" s="30">
        <f>IF(B7="","",IFERROR(INDEX('Items'!$B$2:$B$13,MATCH(B7,'Items'!$A$2:$A$13,0)),"Unknown item code"))</f>
        <v/>
      </c>
      <c r="D7" s="27" t="inlineStr">
        <is>
          <t>Issued</t>
        </is>
      </c>
      <c r="E7" s="43" t="n">
        <v>6</v>
      </c>
      <c r="F7" s="27" t="inlineStr">
        <is>
          <t>J-001</t>
        </is>
      </c>
      <c r="G7" s="27" t="n"/>
    </row>
    <row r="8">
      <c r="A8" s="26" t="n">
        <v>46447</v>
      </c>
      <c r="B8" s="27" t="inlineStr">
        <is>
          <t>EMB-01</t>
        </is>
      </c>
      <c r="C8" s="30">
        <f>IF(B8="","",IFERROR(INDEX('Items'!$B$2:$B$13,MATCH(B8,'Items'!$A$2:$A$13,0)),"Unknown item code"))</f>
        <v/>
      </c>
      <c r="D8" s="27" t="inlineStr">
        <is>
          <t>Adjustment</t>
        </is>
      </c>
      <c r="E8" s="43" t="n">
        <v>-1</v>
      </c>
      <c r="F8" s="27" t="inlineStr">
        <is>
          <t>Damaged roll</t>
        </is>
      </c>
      <c r="G8" s="27" t="n"/>
    </row>
    <row r="9">
      <c r="A9" s="26" t="n">
        <v>46462</v>
      </c>
      <c r="B9" s="27" t="inlineStr">
        <is>
          <t>MAD-01</t>
        </is>
      </c>
      <c r="C9" s="30">
        <f>IF(B9="","",IFERROR(INDEX('Items'!$B$2:$B$13,MATCH(B9,'Items'!$A$2:$A$13,0)),"Unknown item code"))</f>
        <v/>
      </c>
      <c r="D9" s="27" t="inlineStr">
        <is>
          <t>Issued</t>
        </is>
      </c>
      <c r="E9" s="43" t="n">
        <v>30</v>
      </c>
      <c r="F9" s="27" t="inlineStr">
        <is>
          <t>J-003</t>
        </is>
      </c>
      <c r="G9" s="27" t="n"/>
    </row>
    <row r="10">
      <c r="A10" s="26" t="n"/>
      <c r="B10" s="27" t="n"/>
      <c r="C10" s="30">
        <f>IF(B10="","",IFERROR(INDEX('Items'!$B$2:$B$13,MATCH(B10,'Items'!$A$2:$A$13,0)),"Unknown item code"))</f>
        <v/>
      </c>
      <c r="D10" s="27" t="n"/>
      <c r="E10" s="43" t="n"/>
      <c r="F10" s="27" t="n"/>
      <c r="G10" s="27" t="n"/>
    </row>
    <row r="11">
      <c r="A11" s="26" t="n"/>
      <c r="B11" s="27" t="n"/>
      <c r="C11" s="30">
        <f>IF(B11="","",IFERROR(INDEX('Items'!$B$2:$B$13,MATCH(B11,'Items'!$A$2:$A$13,0)),"Unknown item code"))</f>
        <v/>
      </c>
      <c r="D11" s="27" t="n"/>
      <c r="E11" s="43" t="n"/>
      <c r="F11" s="27" t="n"/>
      <c r="G11" s="27" t="n"/>
    </row>
    <row r="12">
      <c r="A12" s="26" t="n"/>
      <c r="B12" s="27" t="n"/>
      <c r="C12" s="30">
        <f>IF(B12="","",IFERROR(INDEX('Items'!$B$2:$B$13,MATCH(B12,'Items'!$A$2:$A$13,0)),"Unknown item code"))</f>
        <v/>
      </c>
      <c r="D12" s="27" t="n"/>
      <c r="E12" s="43" t="n"/>
      <c r="F12" s="27" t="n"/>
      <c r="G12" s="27" t="n"/>
    </row>
    <row r="13">
      <c r="A13" s="26" t="n"/>
      <c r="B13" s="27" t="n"/>
      <c r="C13" s="30">
        <f>IF(B13="","",IFERROR(INDEX('Items'!$B$2:$B$13,MATCH(B13,'Items'!$A$2:$A$13,0)),"Unknown item code"))</f>
        <v/>
      </c>
      <c r="D13" s="27" t="n"/>
      <c r="E13" s="43" t="n"/>
      <c r="F13" s="27" t="n"/>
      <c r="G13" s="2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C2:C13">
    <cfRule type="cellIs" priority="1" operator="equal" dxfId="0">
      <formula>"Unknown item code"</formula>
    </cfRule>
  </conditionalFormatting>
  <dataValidations count="3">
    <dataValidation sqref="B2:B13" showDropDown="0" showInputMessage="0" showErrorMessage="1" allowBlank="1" errorTitle="Not in the list" error="Choose a value from the list (edit lists in Settings)." type="list">
      <formula1>='Items'!$A$2:$A$13</formula1>
    </dataValidation>
    <dataValidation sqref="D2:D13" showDropDown="0" showInputMessage="0" showErrorMessage="1" allowBlank="1" errorTitle="Not in the list" error="Choose a value from the list (edit lists in Settings)." type="list">
      <formula1>=MoveList</formula1>
    </dataValidation>
    <dataValidation sqref="E2:E13" showDropDown="0" showInputMessage="0" showErrorMessage="1" allowBlank="1" error="Enter a number." type="decimal" operator="between">
      <formula1>-1000000000</formula1>
      <formula2>1000000000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104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28" customWidth="1" min="3" max="3"/>
    <col width="18" customWidth="1" min="4" max="4"/>
    <col width="11" customWidth="1" min="5" max="5"/>
    <col width="12" customWidth="1" min="6" max="6"/>
    <col width="12" customWidth="1" min="7" max="7"/>
    <col width="14" customWidth="1" min="8" max="8"/>
    <col width="13" customWidth="1" min="9" max="9"/>
  </cols>
  <sheetData>
    <row r="1">
      <c r="A1" s="1" t="inlineStr">
        <is>
          <t>Reorder list</t>
        </is>
      </c>
    </row>
    <row r="2">
      <c r="A2" s="3" t="inlineStr">
        <is>
          <t>Every item at or below its reorder level. Fills itself from the Items sheet.</t>
        </is>
      </c>
    </row>
    <row r="4" ht="32" customHeight="1">
      <c r="A4" s="21" t="inlineStr">
        <is>
          <t>#</t>
        </is>
      </c>
      <c r="B4" s="21" t="inlineStr">
        <is>
          <t>Item code</t>
        </is>
      </c>
      <c r="C4" s="21" t="inlineStr">
        <is>
          <t>Item</t>
        </is>
      </c>
      <c r="D4" s="21" t="inlineStr">
        <is>
          <t>Supplier</t>
        </is>
      </c>
      <c r="E4" s="21" t="inlineStr">
        <is>
          <t>Current stock</t>
        </is>
      </c>
      <c r="F4" s="21" t="inlineStr">
        <is>
          <t>Reorder level</t>
        </is>
      </c>
      <c r="G4" s="21" t="inlineStr">
        <is>
          <t>Suggested order</t>
        </is>
      </c>
      <c r="H4" s="21" t="inlineStr">
        <is>
          <t>Estimated cost €</t>
        </is>
      </c>
      <c r="I4" s="21" t="inlineStr">
        <is>
          <t>Status</t>
        </is>
      </c>
    </row>
    <row r="5">
      <c r="A5" s="3" t="n">
        <v>1</v>
      </c>
      <c r="B5" s="41">
        <f>IF($A5&gt;MAX('Items'!$P$2:$P$13),"",INDEX('Items'!$A$2:$A$13,MATCH($A5,'Items'!$P$2:$P$13,0)))</f>
        <v/>
      </c>
      <c r="C5" s="41">
        <f>IF($A5&gt;MAX('Items'!$P$2:$P$13),"",INDEX('Items'!$B$2:$B$13,MATCH($A5,'Items'!$P$2:$P$13,0)))</f>
        <v/>
      </c>
      <c r="D5" s="41">
        <f>IF($A5&gt;MAX('Items'!$P$2:$P$13),"",INDEX('Items'!$E$2:$E$13,MATCH($A5,'Items'!$P$2:$P$13,0)))</f>
        <v/>
      </c>
      <c r="E5" s="46">
        <f>IF($A5&gt;MAX('Items'!$P$2:$P$13),"",INDEX('Items'!$K$2:$K$13,MATCH($A5,'Items'!$P$2:$P$13,0)))</f>
        <v/>
      </c>
      <c r="F5" s="46">
        <f>IF($A5&gt;MAX('Items'!$P$2:$P$13),"",INDEX('Items'!$L$2:$L$13,MATCH($A5,'Items'!$P$2:$P$13,0)))</f>
        <v/>
      </c>
      <c r="G5" s="46">
        <f>IF(B5="","",MAX(N(INDEX('Items'!$M$2:$M$13,MATCH($A5,'Items'!$P$2:$P$13,0))),N(F5)-E5))</f>
        <v/>
      </c>
      <c r="H5" s="34">
        <f>IF(B5="","",G5*N(INDEX('Items'!$F$2:$F$13,MATCH($A5,'Items'!$P$2:$P$13,0))))</f>
        <v/>
      </c>
      <c r="I5" s="41">
        <f>IF($A5&gt;MAX('Items'!$P$2:$P$13),"",INDEX('Items'!$N$2:$N$13,MATCH($A5,'Items'!$P$2:$P$13,0)))</f>
        <v/>
      </c>
    </row>
    <row r="6">
      <c r="A6" s="3" t="n">
        <v>2</v>
      </c>
      <c r="B6" s="41">
        <f>IF($A6&gt;MAX('Items'!$P$2:$P$13),"",INDEX('Items'!$A$2:$A$13,MATCH($A6,'Items'!$P$2:$P$13,0)))</f>
        <v/>
      </c>
      <c r="C6" s="41">
        <f>IF($A6&gt;MAX('Items'!$P$2:$P$13),"",INDEX('Items'!$B$2:$B$13,MATCH($A6,'Items'!$P$2:$P$13,0)))</f>
        <v/>
      </c>
      <c r="D6" s="41">
        <f>IF($A6&gt;MAX('Items'!$P$2:$P$13),"",INDEX('Items'!$E$2:$E$13,MATCH($A6,'Items'!$P$2:$P$13,0)))</f>
        <v/>
      </c>
      <c r="E6" s="46">
        <f>IF($A6&gt;MAX('Items'!$P$2:$P$13),"",INDEX('Items'!$K$2:$K$13,MATCH($A6,'Items'!$P$2:$P$13,0)))</f>
        <v/>
      </c>
      <c r="F6" s="46">
        <f>IF($A6&gt;MAX('Items'!$P$2:$P$13),"",INDEX('Items'!$L$2:$L$13,MATCH($A6,'Items'!$P$2:$P$13,0)))</f>
        <v/>
      </c>
      <c r="G6" s="46">
        <f>IF(B6="","",MAX(N(INDEX('Items'!$M$2:$M$13,MATCH($A6,'Items'!$P$2:$P$13,0))),N(F6)-E6))</f>
        <v/>
      </c>
      <c r="H6" s="34">
        <f>IF(B6="","",G6*N(INDEX('Items'!$F$2:$F$13,MATCH($A6,'Items'!$P$2:$P$13,0))))</f>
        <v/>
      </c>
      <c r="I6" s="41">
        <f>IF($A6&gt;MAX('Items'!$P$2:$P$13),"",INDEX('Items'!$N$2:$N$13,MATCH($A6,'Items'!$P$2:$P$13,0)))</f>
        <v/>
      </c>
    </row>
    <row r="7">
      <c r="A7" s="3" t="n">
        <v>3</v>
      </c>
      <c r="B7" s="41">
        <f>IF($A7&gt;MAX('Items'!$P$2:$P$13),"",INDEX('Items'!$A$2:$A$13,MATCH($A7,'Items'!$P$2:$P$13,0)))</f>
        <v/>
      </c>
      <c r="C7" s="41">
        <f>IF($A7&gt;MAX('Items'!$P$2:$P$13),"",INDEX('Items'!$B$2:$B$13,MATCH($A7,'Items'!$P$2:$P$13,0)))</f>
        <v/>
      </c>
      <c r="D7" s="41">
        <f>IF($A7&gt;MAX('Items'!$P$2:$P$13),"",INDEX('Items'!$E$2:$E$13,MATCH($A7,'Items'!$P$2:$P$13,0)))</f>
        <v/>
      </c>
      <c r="E7" s="46">
        <f>IF($A7&gt;MAX('Items'!$P$2:$P$13),"",INDEX('Items'!$K$2:$K$13,MATCH($A7,'Items'!$P$2:$P$13,0)))</f>
        <v/>
      </c>
      <c r="F7" s="46">
        <f>IF($A7&gt;MAX('Items'!$P$2:$P$13),"",INDEX('Items'!$L$2:$L$13,MATCH($A7,'Items'!$P$2:$P$13,0)))</f>
        <v/>
      </c>
      <c r="G7" s="46">
        <f>IF(B7="","",MAX(N(INDEX('Items'!$M$2:$M$13,MATCH($A7,'Items'!$P$2:$P$13,0))),N(F7)-E7))</f>
        <v/>
      </c>
      <c r="H7" s="34">
        <f>IF(B7="","",G7*N(INDEX('Items'!$F$2:$F$13,MATCH($A7,'Items'!$P$2:$P$13,0))))</f>
        <v/>
      </c>
      <c r="I7" s="41">
        <f>IF($A7&gt;MAX('Items'!$P$2:$P$13),"",INDEX('Items'!$N$2:$N$13,MATCH($A7,'Items'!$P$2:$P$13,0)))</f>
        <v/>
      </c>
    </row>
    <row r="8">
      <c r="A8" s="3" t="n">
        <v>4</v>
      </c>
      <c r="B8" s="41">
        <f>IF($A8&gt;MAX('Items'!$P$2:$P$13),"",INDEX('Items'!$A$2:$A$13,MATCH($A8,'Items'!$P$2:$P$13,0)))</f>
        <v/>
      </c>
      <c r="C8" s="41">
        <f>IF($A8&gt;MAX('Items'!$P$2:$P$13),"",INDEX('Items'!$B$2:$B$13,MATCH($A8,'Items'!$P$2:$P$13,0)))</f>
        <v/>
      </c>
      <c r="D8" s="41">
        <f>IF($A8&gt;MAX('Items'!$P$2:$P$13),"",INDEX('Items'!$E$2:$E$13,MATCH($A8,'Items'!$P$2:$P$13,0)))</f>
        <v/>
      </c>
      <c r="E8" s="46">
        <f>IF($A8&gt;MAX('Items'!$P$2:$P$13),"",INDEX('Items'!$K$2:$K$13,MATCH($A8,'Items'!$P$2:$P$13,0)))</f>
        <v/>
      </c>
      <c r="F8" s="46">
        <f>IF($A8&gt;MAX('Items'!$P$2:$P$13),"",INDEX('Items'!$L$2:$L$13,MATCH($A8,'Items'!$P$2:$P$13,0)))</f>
        <v/>
      </c>
      <c r="G8" s="46">
        <f>IF(B8="","",MAX(N(INDEX('Items'!$M$2:$M$13,MATCH($A8,'Items'!$P$2:$P$13,0))),N(F8)-E8))</f>
        <v/>
      </c>
      <c r="H8" s="34">
        <f>IF(B8="","",G8*N(INDEX('Items'!$F$2:$F$13,MATCH($A8,'Items'!$P$2:$P$13,0))))</f>
        <v/>
      </c>
      <c r="I8" s="41">
        <f>IF($A8&gt;MAX('Items'!$P$2:$P$13),"",INDEX('Items'!$N$2:$N$13,MATCH($A8,'Items'!$P$2:$P$13,0)))</f>
        <v/>
      </c>
    </row>
    <row r="9">
      <c r="A9" s="3" t="n">
        <v>5</v>
      </c>
      <c r="B9" s="41">
        <f>IF($A9&gt;MAX('Items'!$P$2:$P$13),"",INDEX('Items'!$A$2:$A$13,MATCH($A9,'Items'!$P$2:$P$13,0)))</f>
        <v/>
      </c>
      <c r="C9" s="41">
        <f>IF($A9&gt;MAX('Items'!$P$2:$P$13),"",INDEX('Items'!$B$2:$B$13,MATCH($A9,'Items'!$P$2:$P$13,0)))</f>
        <v/>
      </c>
      <c r="D9" s="41">
        <f>IF($A9&gt;MAX('Items'!$P$2:$P$13),"",INDEX('Items'!$E$2:$E$13,MATCH($A9,'Items'!$P$2:$P$13,0)))</f>
        <v/>
      </c>
      <c r="E9" s="46">
        <f>IF($A9&gt;MAX('Items'!$P$2:$P$13),"",INDEX('Items'!$K$2:$K$13,MATCH($A9,'Items'!$P$2:$P$13,0)))</f>
        <v/>
      </c>
      <c r="F9" s="46">
        <f>IF($A9&gt;MAX('Items'!$P$2:$P$13),"",INDEX('Items'!$L$2:$L$13,MATCH($A9,'Items'!$P$2:$P$13,0)))</f>
        <v/>
      </c>
      <c r="G9" s="46">
        <f>IF(B9="","",MAX(N(INDEX('Items'!$M$2:$M$13,MATCH($A9,'Items'!$P$2:$P$13,0))),N(F9)-E9))</f>
        <v/>
      </c>
      <c r="H9" s="34">
        <f>IF(B9="","",G9*N(INDEX('Items'!$F$2:$F$13,MATCH($A9,'Items'!$P$2:$P$13,0))))</f>
        <v/>
      </c>
      <c r="I9" s="41">
        <f>IF($A9&gt;MAX('Items'!$P$2:$P$13),"",INDEX('Items'!$N$2:$N$13,MATCH($A9,'Items'!$P$2:$P$13,0)))</f>
        <v/>
      </c>
    </row>
    <row r="10">
      <c r="A10" s="3" t="n">
        <v>6</v>
      </c>
      <c r="B10" s="41">
        <f>IF($A10&gt;MAX('Items'!$P$2:$P$13),"",INDEX('Items'!$A$2:$A$13,MATCH($A10,'Items'!$P$2:$P$13,0)))</f>
        <v/>
      </c>
      <c r="C10" s="41">
        <f>IF($A10&gt;MAX('Items'!$P$2:$P$13),"",INDEX('Items'!$B$2:$B$13,MATCH($A10,'Items'!$P$2:$P$13,0)))</f>
        <v/>
      </c>
      <c r="D10" s="41">
        <f>IF($A10&gt;MAX('Items'!$P$2:$P$13),"",INDEX('Items'!$E$2:$E$13,MATCH($A10,'Items'!$P$2:$P$13,0)))</f>
        <v/>
      </c>
      <c r="E10" s="46">
        <f>IF($A10&gt;MAX('Items'!$P$2:$P$13),"",INDEX('Items'!$K$2:$K$13,MATCH($A10,'Items'!$P$2:$P$13,0)))</f>
        <v/>
      </c>
      <c r="F10" s="46">
        <f>IF($A10&gt;MAX('Items'!$P$2:$P$13),"",INDEX('Items'!$L$2:$L$13,MATCH($A10,'Items'!$P$2:$P$13,0)))</f>
        <v/>
      </c>
      <c r="G10" s="46">
        <f>IF(B10="","",MAX(N(INDEX('Items'!$M$2:$M$13,MATCH($A10,'Items'!$P$2:$P$13,0))),N(F10)-E10))</f>
        <v/>
      </c>
      <c r="H10" s="34">
        <f>IF(B10="","",G10*N(INDEX('Items'!$F$2:$F$13,MATCH($A10,'Items'!$P$2:$P$13,0))))</f>
        <v/>
      </c>
      <c r="I10" s="41">
        <f>IF($A10&gt;MAX('Items'!$P$2:$P$13),"",INDEX('Items'!$N$2:$N$13,MATCH($A10,'Items'!$P$2:$P$13,0)))</f>
        <v/>
      </c>
    </row>
    <row r="11">
      <c r="A11" s="3" t="n">
        <v>7</v>
      </c>
      <c r="B11" s="41">
        <f>IF($A11&gt;MAX('Items'!$P$2:$P$13),"",INDEX('Items'!$A$2:$A$13,MATCH($A11,'Items'!$P$2:$P$13,0)))</f>
        <v/>
      </c>
      <c r="C11" s="41">
        <f>IF($A11&gt;MAX('Items'!$P$2:$P$13),"",INDEX('Items'!$B$2:$B$13,MATCH($A11,'Items'!$P$2:$P$13,0)))</f>
        <v/>
      </c>
      <c r="D11" s="41">
        <f>IF($A11&gt;MAX('Items'!$P$2:$P$13),"",INDEX('Items'!$E$2:$E$13,MATCH($A11,'Items'!$P$2:$P$13,0)))</f>
        <v/>
      </c>
      <c r="E11" s="46">
        <f>IF($A11&gt;MAX('Items'!$P$2:$P$13),"",INDEX('Items'!$K$2:$K$13,MATCH($A11,'Items'!$P$2:$P$13,0)))</f>
        <v/>
      </c>
      <c r="F11" s="46">
        <f>IF($A11&gt;MAX('Items'!$P$2:$P$13),"",INDEX('Items'!$L$2:$L$13,MATCH($A11,'Items'!$P$2:$P$13,0)))</f>
        <v/>
      </c>
      <c r="G11" s="46">
        <f>IF(B11="","",MAX(N(INDEX('Items'!$M$2:$M$13,MATCH($A11,'Items'!$P$2:$P$13,0))),N(F11)-E11))</f>
        <v/>
      </c>
      <c r="H11" s="34">
        <f>IF(B11="","",G11*N(INDEX('Items'!$F$2:$F$13,MATCH($A11,'Items'!$P$2:$P$13,0))))</f>
        <v/>
      </c>
      <c r="I11" s="41">
        <f>IF($A11&gt;MAX('Items'!$P$2:$P$13),"",INDEX('Items'!$N$2:$N$13,MATCH($A11,'Items'!$P$2:$P$13,0)))</f>
        <v/>
      </c>
    </row>
    <row r="12">
      <c r="A12" s="3" t="n">
        <v>8</v>
      </c>
      <c r="B12" s="41">
        <f>IF($A12&gt;MAX('Items'!$P$2:$P$13),"",INDEX('Items'!$A$2:$A$13,MATCH($A12,'Items'!$P$2:$P$13,0)))</f>
        <v/>
      </c>
      <c r="C12" s="41">
        <f>IF($A12&gt;MAX('Items'!$P$2:$P$13),"",INDEX('Items'!$B$2:$B$13,MATCH($A12,'Items'!$P$2:$P$13,0)))</f>
        <v/>
      </c>
      <c r="D12" s="41">
        <f>IF($A12&gt;MAX('Items'!$P$2:$P$13),"",INDEX('Items'!$E$2:$E$13,MATCH($A12,'Items'!$P$2:$P$13,0)))</f>
        <v/>
      </c>
      <c r="E12" s="46">
        <f>IF($A12&gt;MAX('Items'!$P$2:$P$13),"",INDEX('Items'!$K$2:$K$13,MATCH($A12,'Items'!$P$2:$P$13,0)))</f>
        <v/>
      </c>
      <c r="F12" s="46">
        <f>IF($A12&gt;MAX('Items'!$P$2:$P$13),"",INDEX('Items'!$L$2:$L$13,MATCH($A12,'Items'!$P$2:$P$13,0)))</f>
        <v/>
      </c>
      <c r="G12" s="46">
        <f>IF(B12="","",MAX(N(INDEX('Items'!$M$2:$M$13,MATCH($A12,'Items'!$P$2:$P$13,0))),N(F12)-E12))</f>
        <v/>
      </c>
      <c r="H12" s="34">
        <f>IF(B12="","",G12*N(INDEX('Items'!$F$2:$F$13,MATCH($A12,'Items'!$P$2:$P$13,0))))</f>
        <v/>
      </c>
      <c r="I12" s="41">
        <f>IF($A12&gt;MAX('Items'!$P$2:$P$13),"",INDEX('Items'!$N$2:$N$13,MATCH($A12,'Items'!$P$2:$P$13,0)))</f>
        <v/>
      </c>
    </row>
    <row r="13">
      <c r="A13" s="3" t="n">
        <v>9</v>
      </c>
      <c r="B13" s="41">
        <f>IF($A13&gt;MAX('Items'!$P$2:$P$13),"",INDEX('Items'!$A$2:$A$13,MATCH($A13,'Items'!$P$2:$P$13,0)))</f>
        <v/>
      </c>
      <c r="C13" s="41">
        <f>IF($A13&gt;MAX('Items'!$P$2:$P$13),"",INDEX('Items'!$B$2:$B$13,MATCH($A13,'Items'!$P$2:$P$13,0)))</f>
        <v/>
      </c>
      <c r="D13" s="41">
        <f>IF($A13&gt;MAX('Items'!$P$2:$P$13),"",INDEX('Items'!$E$2:$E$13,MATCH($A13,'Items'!$P$2:$P$13,0)))</f>
        <v/>
      </c>
      <c r="E13" s="46">
        <f>IF($A13&gt;MAX('Items'!$P$2:$P$13),"",INDEX('Items'!$K$2:$K$13,MATCH($A13,'Items'!$P$2:$P$13,0)))</f>
        <v/>
      </c>
      <c r="F13" s="46">
        <f>IF($A13&gt;MAX('Items'!$P$2:$P$13),"",INDEX('Items'!$L$2:$L$13,MATCH($A13,'Items'!$P$2:$P$13,0)))</f>
        <v/>
      </c>
      <c r="G13" s="46">
        <f>IF(B13="","",MAX(N(INDEX('Items'!$M$2:$M$13,MATCH($A13,'Items'!$P$2:$P$13,0))),N(F13)-E13))</f>
        <v/>
      </c>
      <c r="H13" s="34">
        <f>IF(B13="","",G13*N(INDEX('Items'!$F$2:$F$13,MATCH($A13,'Items'!$P$2:$P$13,0))))</f>
        <v/>
      </c>
      <c r="I13" s="41">
        <f>IF($A13&gt;MAX('Items'!$P$2:$P$13),"",INDEX('Items'!$N$2:$N$13,MATCH($A13,'Items'!$P$2:$P$13,0)))</f>
        <v/>
      </c>
    </row>
    <row r="14">
      <c r="A14" s="3" t="n">
        <v>10</v>
      </c>
      <c r="B14" s="41">
        <f>IF($A14&gt;MAX('Items'!$P$2:$P$13),"",INDEX('Items'!$A$2:$A$13,MATCH($A14,'Items'!$P$2:$P$13,0)))</f>
        <v/>
      </c>
      <c r="C14" s="41">
        <f>IF($A14&gt;MAX('Items'!$P$2:$P$13),"",INDEX('Items'!$B$2:$B$13,MATCH($A14,'Items'!$P$2:$P$13,0)))</f>
        <v/>
      </c>
      <c r="D14" s="41">
        <f>IF($A14&gt;MAX('Items'!$P$2:$P$13),"",INDEX('Items'!$E$2:$E$13,MATCH($A14,'Items'!$P$2:$P$13,0)))</f>
        <v/>
      </c>
      <c r="E14" s="46">
        <f>IF($A14&gt;MAX('Items'!$P$2:$P$13),"",INDEX('Items'!$K$2:$K$13,MATCH($A14,'Items'!$P$2:$P$13,0)))</f>
        <v/>
      </c>
      <c r="F14" s="46">
        <f>IF($A14&gt;MAX('Items'!$P$2:$P$13),"",INDEX('Items'!$L$2:$L$13,MATCH($A14,'Items'!$P$2:$P$13,0)))</f>
        <v/>
      </c>
      <c r="G14" s="46">
        <f>IF(B14="","",MAX(N(INDEX('Items'!$M$2:$M$13,MATCH($A14,'Items'!$P$2:$P$13,0))),N(F14)-E14))</f>
        <v/>
      </c>
      <c r="H14" s="34">
        <f>IF(B14="","",G14*N(INDEX('Items'!$F$2:$F$13,MATCH($A14,'Items'!$P$2:$P$13,0))))</f>
        <v/>
      </c>
      <c r="I14" s="41">
        <f>IF($A14&gt;MAX('Items'!$P$2:$P$13),"",INDEX('Items'!$N$2:$N$13,MATCH($A14,'Items'!$P$2:$P$13,0)))</f>
        <v/>
      </c>
    </row>
    <row r="15">
      <c r="A15" s="3" t="n">
        <v>11</v>
      </c>
      <c r="B15" s="41">
        <f>IF($A15&gt;MAX('Items'!$P$2:$P$13),"",INDEX('Items'!$A$2:$A$13,MATCH($A15,'Items'!$P$2:$P$13,0)))</f>
        <v/>
      </c>
      <c r="C15" s="41">
        <f>IF($A15&gt;MAX('Items'!$P$2:$P$13),"",INDEX('Items'!$B$2:$B$13,MATCH($A15,'Items'!$P$2:$P$13,0)))</f>
        <v/>
      </c>
      <c r="D15" s="41">
        <f>IF($A15&gt;MAX('Items'!$P$2:$P$13),"",INDEX('Items'!$E$2:$E$13,MATCH($A15,'Items'!$P$2:$P$13,0)))</f>
        <v/>
      </c>
      <c r="E15" s="46">
        <f>IF($A15&gt;MAX('Items'!$P$2:$P$13),"",INDEX('Items'!$K$2:$K$13,MATCH($A15,'Items'!$P$2:$P$13,0)))</f>
        <v/>
      </c>
      <c r="F15" s="46">
        <f>IF($A15&gt;MAX('Items'!$P$2:$P$13),"",INDEX('Items'!$L$2:$L$13,MATCH($A15,'Items'!$P$2:$P$13,0)))</f>
        <v/>
      </c>
      <c r="G15" s="46">
        <f>IF(B15="","",MAX(N(INDEX('Items'!$M$2:$M$13,MATCH($A15,'Items'!$P$2:$P$13,0))),N(F15)-E15))</f>
        <v/>
      </c>
      <c r="H15" s="34">
        <f>IF(B15="","",G15*N(INDEX('Items'!$F$2:$F$13,MATCH($A15,'Items'!$P$2:$P$13,0))))</f>
        <v/>
      </c>
      <c r="I15" s="41">
        <f>IF($A15&gt;MAX('Items'!$P$2:$P$13),"",INDEX('Items'!$N$2:$N$13,MATCH($A15,'Items'!$P$2:$P$13,0)))</f>
        <v/>
      </c>
    </row>
    <row r="16">
      <c r="A16" s="3" t="n">
        <v>12</v>
      </c>
      <c r="B16" s="41">
        <f>IF($A16&gt;MAX('Items'!$P$2:$P$13),"",INDEX('Items'!$A$2:$A$13,MATCH($A16,'Items'!$P$2:$P$13,0)))</f>
        <v/>
      </c>
      <c r="C16" s="41">
        <f>IF($A16&gt;MAX('Items'!$P$2:$P$13),"",INDEX('Items'!$B$2:$B$13,MATCH($A16,'Items'!$P$2:$P$13,0)))</f>
        <v/>
      </c>
      <c r="D16" s="41">
        <f>IF($A16&gt;MAX('Items'!$P$2:$P$13),"",INDEX('Items'!$E$2:$E$13,MATCH($A16,'Items'!$P$2:$P$13,0)))</f>
        <v/>
      </c>
      <c r="E16" s="46">
        <f>IF($A16&gt;MAX('Items'!$P$2:$P$13),"",INDEX('Items'!$K$2:$K$13,MATCH($A16,'Items'!$P$2:$P$13,0)))</f>
        <v/>
      </c>
      <c r="F16" s="46">
        <f>IF($A16&gt;MAX('Items'!$P$2:$P$13),"",INDEX('Items'!$L$2:$L$13,MATCH($A16,'Items'!$P$2:$P$13,0)))</f>
        <v/>
      </c>
      <c r="G16" s="46">
        <f>IF(B16="","",MAX(N(INDEX('Items'!$M$2:$M$13,MATCH($A16,'Items'!$P$2:$P$13,0))),N(F16)-E16))</f>
        <v/>
      </c>
      <c r="H16" s="34">
        <f>IF(B16="","",G16*N(INDEX('Items'!$F$2:$F$13,MATCH($A16,'Items'!$P$2:$P$13,0))))</f>
        <v/>
      </c>
      <c r="I16" s="41">
        <f>IF($A16&gt;MAX('Items'!$P$2:$P$13),"",INDEX('Items'!$N$2:$N$13,MATCH($A16,'Items'!$P$2:$P$13,0)))</f>
        <v/>
      </c>
    </row>
    <row r="17">
      <c r="A17" s="3" t="n">
        <v>13</v>
      </c>
      <c r="B17" s="41">
        <f>IF($A17&gt;MAX('Items'!$P$2:$P$13),"",INDEX('Items'!$A$2:$A$13,MATCH($A17,'Items'!$P$2:$P$13,0)))</f>
        <v/>
      </c>
      <c r="C17" s="41">
        <f>IF($A17&gt;MAX('Items'!$P$2:$P$13),"",INDEX('Items'!$B$2:$B$13,MATCH($A17,'Items'!$P$2:$P$13,0)))</f>
        <v/>
      </c>
      <c r="D17" s="41">
        <f>IF($A17&gt;MAX('Items'!$P$2:$P$13),"",INDEX('Items'!$E$2:$E$13,MATCH($A17,'Items'!$P$2:$P$13,0)))</f>
        <v/>
      </c>
      <c r="E17" s="46">
        <f>IF($A17&gt;MAX('Items'!$P$2:$P$13),"",INDEX('Items'!$K$2:$K$13,MATCH($A17,'Items'!$P$2:$P$13,0)))</f>
        <v/>
      </c>
      <c r="F17" s="46">
        <f>IF($A17&gt;MAX('Items'!$P$2:$P$13),"",INDEX('Items'!$L$2:$L$13,MATCH($A17,'Items'!$P$2:$P$13,0)))</f>
        <v/>
      </c>
      <c r="G17" s="46">
        <f>IF(B17="","",MAX(N(INDEX('Items'!$M$2:$M$13,MATCH($A17,'Items'!$P$2:$P$13,0))),N(F17)-E17))</f>
        <v/>
      </c>
      <c r="H17" s="34">
        <f>IF(B17="","",G17*N(INDEX('Items'!$F$2:$F$13,MATCH($A17,'Items'!$P$2:$P$13,0))))</f>
        <v/>
      </c>
      <c r="I17" s="41">
        <f>IF($A17&gt;MAX('Items'!$P$2:$P$13),"",INDEX('Items'!$N$2:$N$13,MATCH($A17,'Items'!$P$2:$P$13,0)))</f>
        <v/>
      </c>
    </row>
    <row r="18">
      <c r="A18" s="3" t="n">
        <v>14</v>
      </c>
      <c r="B18" s="41">
        <f>IF($A18&gt;MAX('Items'!$P$2:$P$13),"",INDEX('Items'!$A$2:$A$13,MATCH($A18,'Items'!$P$2:$P$13,0)))</f>
        <v/>
      </c>
      <c r="C18" s="41">
        <f>IF($A18&gt;MAX('Items'!$P$2:$P$13),"",INDEX('Items'!$B$2:$B$13,MATCH($A18,'Items'!$P$2:$P$13,0)))</f>
        <v/>
      </c>
      <c r="D18" s="41">
        <f>IF($A18&gt;MAX('Items'!$P$2:$P$13),"",INDEX('Items'!$E$2:$E$13,MATCH($A18,'Items'!$P$2:$P$13,0)))</f>
        <v/>
      </c>
      <c r="E18" s="46">
        <f>IF($A18&gt;MAX('Items'!$P$2:$P$13),"",INDEX('Items'!$K$2:$K$13,MATCH($A18,'Items'!$P$2:$P$13,0)))</f>
        <v/>
      </c>
      <c r="F18" s="46">
        <f>IF($A18&gt;MAX('Items'!$P$2:$P$13),"",INDEX('Items'!$L$2:$L$13,MATCH($A18,'Items'!$P$2:$P$13,0)))</f>
        <v/>
      </c>
      <c r="G18" s="46">
        <f>IF(B18="","",MAX(N(INDEX('Items'!$M$2:$M$13,MATCH($A18,'Items'!$P$2:$P$13,0))),N(F18)-E18))</f>
        <v/>
      </c>
      <c r="H18" s="34">
        <f>IF(B18="","",G18*N(INDEX('Items'!$F$2:$F$13,MATCH($A18,'Items'!$P$2:$P$13,0))))</f>
        <v/>
      </c>
      <c r="I18" s="41">
        <f>IF($A18&gt;MAX('Items'!$P$2:$P$13),"",INDEX('Items'!$N$2:$N$13,MATCH($A18,'Items'!$P$2:$P$13,0)))</f>
        <v/>
      </c>
    </row>
    <row r="19">
      <c r="A19" s="3" t="n">
        <v>15</v>
      </c>
      <c r="B19" s="41">
        <f>IF($A19&gt;MAX('Items'!$P$2:$P$13),"",INDEX('Items'!$A$2:$A$13,MATCH($A19,'Items'!$P$2:$P$13,0)))</f>
        <v/>
      </c>
      <c r="C19" s="41">
        <f>IF($A19&gt;MAX('Items'!$P$2:$P$13),"",INDEX('Items'!$B$2:$B$13,MATCH($A19,'Items'!$P$2:$P$13,0)))</f>
        <v/>
      </c>
      <c r="D19" s="41">
        <f>IF($A19&gt;MAX('Items'!$P$2:$P$13),"",INDEX('Items'!$E$2:$E$13,MATCH($A19,'Items'!$P$2:$P$13,0)))</f>
        <v/>
      </c>
      <c r="E19" s="46">
        <f>IF($A19&gt;MAX('Items'!$P$2:$P$13),"",INDEX('Items'!$K$2:$K$13,MATCH($A19,'Items'!$P$2:$P$13,0)))</f>
        <v/>
      </c>
      <c r="F19" s="46">
        <f>IF($A19&gt;MAX('Items'!$P$2:$P$13),"",INDEX('Items'!$L$2:$L$13,MATCH($A19,'Items'!$P$2:$P$13,0)))</f>
        <v/>
      </c>
      <c r="G19" s="46">
        <f>IF(B19="","",MAX(N(INDEX('Items'!$M$2:$M$13,MATCH($A19,'Items'!$P$2:$P$13,0))),N(F19)-E19))</f>
        <v/>
      </c>
      <c r="H19" s="34">
        <f>IF(B19="","",G19*N(INDEX('Items'!$F$2:$F$13,MATCH($A19,'Items'!$P$2:$P$13,0))))</f>
        <v/>
      </c>
      <c r="I19" s="41">
        <f>IF($A19&gt;MAX('Items'!$P$2:$P$13),"",INDEX('Items'!$N$2:$N$13,MATCH($A19,'Items'!$P$2:$P$13,0)))</f>
        <v/>
      </c>
    </row>
    <row r="20">
      <c r="A20" s="3" t="n">
        <v>16</v>
      </c>
      <c r="B20" s="41">
        <f>IF($A20&gt;MAX('Items'!$P$2:$P$13),"",INDEX('Items'!$A$2:$A$13,MATCH($A20,'Items'!$P$2:$P$13,0)))</f>
        <v/>
      </c>
      <c r="C20" s="41">
        <f>IF($A20&gt;MAX('Items'!$P$2:$P$13),"",INDEX('Items'!$B$2:$B$13,MATCH($A20,'Items'!$P$2:$P$13,0)))</f>
        <v/>
      </c>
      <c r="D20" s="41">
        <f>IF($A20&gt;MAX('Items'!$P$2:$P$13),"",INDEX('Items'!$E$2:$E$13,MATCH($A20,'Items'!$P$2:$P$13,0)))</f>
        <v/>
      </c>
      <c r="E20" s="46">
        <f>IF($A20&gt;MAX('Items'!$P$2:$P$13),"",INDEX('Items'!$K$2:$K$13,MATCH($A20,'Items'!$P$2:$P$13,0)))</f>
        <v/>
      </c>
      <c r="F20" s="46">
        <f>IF($A20&gt;MAX('Items'!$P$2:$P$13),"",INDEX('Items'!$L$2:$L$13,MATCH($A20,'Items'!$P$2:$P$13,0)))</f>
        <v/>
      </c>
      <c r="G20" s="46">
        <f>IF(B20="","",MAX(N(INDEX('Items'!$M$2:$M$13,MATCH($A20,'Items'!$P$2:$P$13,0))),N(F20)-E20))</f>
        <v/>
      </c>
      <c r="H20" s="34">
        <f>IF(B20="","",G20*N(INDEX('Items'!$F$2:$F$13,MATCH($A20,'Items'!$P$2:$P$13,0))))</f>
        <v/>
      </c>
      <c r="I20" s="41">
        <f>IF($A20&gt;MAX('Items'!$P$2:$P$13),"",INDEX('Items'!$N$2:$N$13,MATCH($A20,'Items'!$P$2:$P$13,0)))</f>
        <v/>
      </c>
    </row>
    <row r="21">
      <c r="A21" s="3" t="n">
        <v>17</v>
      </c>
      <c r="B21" s="41">
        <f>IF($A21&gt;MAX('Items'!$P$2:$P$13),"",INDEX('Items'!$A$2:$A$13,MATCH($A21,'Items'!$P$2:$P$13,0)))</f>
        <v/>
      </c>
      <c r="C21" s="41">
        <f>IF($A21&gt;MAX('Items'!$P$2:$P$13),"",INDEX('Items'!$B$2:$B$13,MATCH($A21,'Items'!$P$2:$P$13,0)))</f>
        <v/>
      </c>
      <c r="D21" s="41">
        <f>IF($A21&gt;MAX('Items'!$P$2:$P$13),"",INDEX('Items'!$E$2:$E$13,MATCH($A21,'Items'!$P$2:$P$13,0)))</f>
        <v/>
      </c>
      <c r="E21" s="46">
        <f>IF($A21&gt;MAX('Items'!$P$2:$P$13),"",INDEX('Items'!$K$2:$K$13,MATCH($A21,'Items'!$P$2:$P$13,0)))</f>
        <v/>
      </c>
      <c r="F21" s="46">
        <f>IF($A21&gt;MAX('Items'!$P$2:$P$13),"",INDEX('Items'!$L$2:$L$13,MATCH($A21,'Items'!$P$2:$P$13,0)))</f>
        <v/>
      </c>
      <c r="G21" s="46">
        <f>IF(B21="","",MAX(N(INDEX('Items'!$M$2:$M$13,MATCH($A21,'Items'!$P$2:$P$13,0))),N(F21)-E21))</f>
        <v/>
      </c>
      <c r="H21" s="34">
        <f>IF(B21="","",G21*N(INDEX('Items'!$F$2:$F$13,MATCH($A21,'Items'!$P$2:$P$13,0))))</f>
        <v/>
      </c>
      <c r="I21" s="41">
        <f>IF($A21&gt;MAX('Items'!$P$2:$P$13),"",INDEX('Items'!$N$2:$N$13,MATCH($A21,'Items'!$P$2:$P$13,0)))</f>
        <v/>
      </c>
    </row>
    <row r="22">
      <c r="A22" s="3" t="n">
        <v>18</v>
      </c>
      <c r="B22" s="41">
        <f>IF($A22&gt;MAX('Items'!$P$2:$P$13),"",INDEX('Items'!$A$2:$A$13,MATCH($A22,'Items'!$P$2:$P$13,0)))</f>
        <v/>
      </c>
      <c r="C22" s="41">
        <f>IF($A22&gt;MAX('Items'!$P$2:$P$13),"",INDEX('Items'!$B$2:$B$13,MATCH($A22,'Items'!$P$2:$P$13,0)))</f>
        <v/>
      </c>
      <c r="D22" s="41">
        <f>IF($A22&gt;MAX('Items'!$P$2:$P$13),"",INDEX('Items'!$E$2:$E$13,MATCH($A22,'Items'!$P$2:$P$13,0)))</f>
        <v/>
      </c>
      <c r="E22" s="46">
        <f>IF($A22&gt;MAX('Items'!$P$2:$P$13),"",INDEX('Items'!$K$2:$K$13,MATCH($A22,'Items'!$P$2:$P$13,0)))</f>
        <v/>
      </c>
      <c r="F22" s="46">
        <f>IF($A22&gt;MAX('Items'!$P$2:$P$13),"",INDEX('Items'!$L$2:$L$13,MATCH($A22,'Items'!$P$2:$P$13,0)))</f>
        <v/>
      </c>
      <c r="G22" s="46">
        <f>IF(B22="","",MAX(N(INDEX('Items'!$M$2:$M$13,MATCH($A22,'Items'!$P$2:$P$13,0))),N(F22)-E22))</f>
        <v/>
      </c>
      <c r="H22" s="34">
        <f>IF(B22="","",G22*N(INDEX('Items'!$F$2:$F$13,MATCH($A22,'Items'!$P$2:$P$13,0))))</f>
        <v/>
      </c>
      <c r="I22" s="41">
        <f>IF($A22&gt;MAX('Items'!$P$2:$P$13),"",INDEX('Items'!$N$2:$N$13,MATCH($A22,'Items'!$P$2:$P$13,0)))</f>
        <v/>
      </c>
    </row>
    <row r="23">
      <c r="A23" s="3" t="n">
        <v>19</v>
      </c>
      <c r="B23" s="41">
        <f>IF($A23&gt;MAX('Items'!$P$2:$P$13),"",INDEX('Items'!$A$2:$A$13,MATCH($A23,'Items'!$P$2:$P$13,0)))</f>
        <v/>
      </c>
      <c r="C23" s="41">
        <f>IF($A23&gt;MAX('Items'!$P$2:$P$13),"",INDEX('Items'!$B$2:$B$13,MATCH($A23,'Items'!$P$2:$P$13,0)))</f>
        <v/>
      </c>
      <c r="D23" s="41">
        <f>IF($A23&gt;MAX('Items'!$P$2:$P$13),"",INDEX('Items'!$E$2:$E$13,MATCH($A23,'Items'!$P$2:$P$13,0)))</f>
        <v/>
      </c>
      <c r="E23" s="46">
        <f>IF($A23&gt;MAX('Items'!$P$2:$P$13),"",INDEX('Items'!$K$2:$K$13,MATCH($A23,'Items'!$P$2:$P$13,0)))</f>
        <v/>
      </c>
      <c r="F23" s="46">
        <f>IF($A23&gt;MAX('Items'!$P$2:$P$13),"",INDEX('Items'!$L$2:$L$13,MATCH($A23,'Items'!$P$2:$P$13,0)))</f>
        <v/>
      </c>
      <c r="G23" s="46">
        <f>IF(B23="","",MAX(N(INDEX('Items'!$M$2:$M$13,MATCH($A23,'Items'!$P$2:$P$13,0))),N(F23)-E23))</f>
        <v/>
      </c>
      <c r="H23" s="34">
        <f>IF(B23="","",G23*N(INDEX('Items'!$F$2:$F$13,MATCH($A23,'Items'!$P$2:$P$13,0))))</f>
        <v/>
      </c>
      <c r="I23" s="41">
        <f>IF($A23&gt;MAX('Items'!$P$2:$P$13),"",INDEX('Items'!$N$2:$N$13,MATCH($A23,'Items'!$P$2:$P$13,0)))</f>
        <v/>
      </c>
    </row>
    <row r="24">
      <c r="A24" s="3" t="n">
        <v>20</v>
      </c>
      <c r="B24" s="41">
        <f>IF($A24&gt;MAX('Items'!$P$2:$P$13),"",INDEX('Items'!$A$2:$A$13,MATCH($A24,'Items'!$P$2:$P$13,0)))</f>
        <v/>
      </c>
      <c r="C24" s="41">
        <f>IF($A24&gt;MAX('Items'!$P$2:$P$13),"",INDEX('Items'!$B$2:$B$13,MATCH($A24,'Items'!$P$2:$P$13,0)))</f>
        <v/>
      </c>
      <c r="D24" s="41">
        <f>IF($A24&gt;MAX('Items'!$P$2:$P$13),"",INDEX('Items'!$E$2:$E$13,MATCH($A24,'Items'!$P$2:$P$13,0)))</f>
        <v/>
      </c>
      <c r="E24" s="46">
        <f>IF($A24&gt;MAX('Items'!$P$2:$P$13),"",INDEX('Items'!$K$2:$K$13,MATCH($A24,'Items'!$P$2:$P$13,0)))</f>
        <v/>
      </c>
      <c r="F24" s="46">
        <f>IF($A24&gt;MAX('Items'!$P$2:$P$13),"",INDEX('Items'!$L$2:$L$13,MATCH($A24,'Items'!$P$2:$P$13,0)))</f>
        <v/>
      </c>
      <c r="G24" s="46">
        <f>IF(B24="","",MAX(N(INDEX('Items'!$M$2:$M$13,MATCH($A24,'Items'!$P$2:$P$13,0))),N(F24)-E24))</f>
        <v/>
      </c>
      <c r="H24" s="34">
        <f>IF(B24="","",G24*N(INDEX('Items'!$F$2:$F$13,MATCH($A24,'Items'!$P$2:$P$13,0))))</f>
        <v/>
      </c>
      <c r="I24" s="41">
        <f>IF($A24&gt;MAX('Items'!$P$2:$P$13),"",INDEX('Items'!$N$2:$N$13,MATCH($A24,'Items'!$P$2:$P$13,0)))</f>
        <v/>
      </c>
    </row>
    <row r="25">
      <c r="A25" s="3" t="n">
        <v>21</v>
      </c>
      <c r="B25" s="41">
        <f>IF($A25&gt;MAX('Items'!$P$2:$P$13),"",INDEX('Items'!$A$2:$A$13,MATCH($A25,'Items'!$P$2:$P$13,0)))</f>
        <v/>
      </c>
      <c r="C25" s="41">
        <f>IF($A25&gt;MAX('Items'!$P$2:$P$13),"",INDEX('Items'!$B$2:$B$13,MATCH($A25,'Items'!$P$2:$P$13,0)))</f>
        <v/>
      </c>
      <c r="D25" s="41">
        <f>IF($A25&gt;MAX('Items'!$P$2:$P$13),"",INDEX('Items'!$E$2:$E$13,MATCH($A25,'Items'!$P$2:$P$13,0)))</f>
        <v/>
      </c>
      <c r="E25" s="46">
        <f>IF($A25&gt;MAX('Items'!$P$2:$P$13),"",INDEX('Items'!$K$2:$K$13,MATCH($A25,'Items'!$P$2:$P$13,0)))</f>
        <v/>
      </c>
      <c r="F25" s="46">
        <f>IF($A25&gt;MAX('Items'!$P$2:$P$13),"",INDEX('Items'!$L$2:$L$13,MATCH($A25,'Items'!$P$2:$P$13,0)))</f>
        <v/>
      </c>
      <c r="G25" s="46">
        <f>IF(B25="","",MAX(N(INDEX('Items'!$M$2:$M$13,MATCH($A25,'Items'!$P$2:$P$13,0))),N(F25)-E25))</f>
        <v/>
      </c>
      <c r="H25" s="34">
        <f>IF(B25="","",G25*N(INDEX('Items'!$F$2:$F$13,MATCH($A25,'Items'!$P$2:$P$13,0))))</f>
        <v/>
      </c>
      <c r="I25" s="41">
        <f>IF($A25&gt;MAX('Items'!$P$2:$P$13),"",INDEX('Items'!$N$2:$N$13,MATCH($A25,'Items'!$P$2:$P$13,0)))</f>
        <v/>
      </c>
    </row>
    <row r="26">
      <c r="A26" s="3" t="n">
        <v>22</v>
      </c>
      <c r="B26" s="41">
        <f>IF($A26&gt;MAX('Items'!$P$2:$P$13),"",INDEX('Items'!$A$2:$A$13,MATCH($A26,'Items'!$P$2:$P$13,0)))</f>
        <v/>
      </c>
      <c r="C26" s="41">
        <f>IF($A26&gt;MAX('Items'!$P$2:$P$13),"",INDEX('Items'!$B$2:$B$13,MATCH($A26,'Items'!$P$2:$P$13,0)))</f>
        <v/>
      </c>
      <c r="D26" s="41">
        <f>IF($A26&gt;MAX('Items'!$P$2:$P$13),"",INDEX('Items'!$E$2:$E$13,MATCH($A26,'Items'!$P$2:$P$13,0)))</f>
        <v/>
      </c>
      <c r="E26" s="46">
        <f>IF($A26&gt;MAX('Items'!$P$2:$P$13),"",INDEX('Items'!$K$2:$K$13,MATCH($A26,'Items'!$P$2:$P$13,0)))</f>
        <v/>
      </c>
      <c r="F26" s="46">
        <f>IF($A26&gt;MAX('Items'!$P$2:$P$13),"",INDEX('Items'!$L$2:$L$13,MATCH($A26,'Items'!$P$2:$P$13,0)))</f>
        <v/>
      </c>
      <c r="G26" s="46">
        <f>IF(B26="","",MAX(N(INDEX('Items'!$M$2:$M$13,MATCH($A26,'Items'!$P$2:$P$13,0))),N(F26)-E26))</f>
        <v/>
      </c>
      <c r="H26" s="34">
        <f>IF(B26="","",G26*N(INDEX('Items'!$F$2:$F$13,MATCH($A26,'Items'!$P$2:$P$13,0))))</f>
        <v/>
      </c>
      <c r="I26" s="41">
        <f>IF($A26&gt;MAX('Items'!$P$2:$P$13),"",INDEX('Items'!$N$2:$N$13,MATCH($A26,'Items'!$P$2:$P$13,0)))</f>
        <v/>
      </c>
    </row>
    <row r="27">
      <c r="A27" s="3" t="n">
        <v>23</v>
      </c>
      <c r="B27" s="41">
        <f>IF($A27&gt;MAX('Items'!$P$2:$P$13),"",INDEX('Items'!$A$2:$A$13,MATCH($A27,'Items'!$P$2:$P$13,0)))</f>
        <v/>
      </c>
      <c r="C27" s="41">
        <f>IF($A27&gt;MAX('Items'!$P$2:$P$13),"",INDEX('Items'!$B$2:$B$13,MATCH($A27,'Items'!$P$2:$P$13,0)))</f>
        <v/>
      </c>
      <c r="D27" s="41">
        <f>IF($A27&gt;MAX('Items'!$P$2:$P$13),"",INDEX('Items'!$E$2:$E$13,MATCH($A27,'Items'!$P$2:$P$13,0)))</f>
        <v/>
      </c>
      <c r="E27" s="46">
        <f>IF($A27&gt;MAX('Items'!$P$2:$P$13),"",INDEX('Items'!$K$2:$K$13,MATCH($A27,'Items'!$P$2:$P$13,0)))</f>
        <v/>
      </c>
      <c r="F27" s="46">
        <f>IF($A27&gt;MAX('Items'!$P$2:$P$13),"",INDEX('Items'!$L$2:$L$13,MATCH($A27,'Items'!$P$2:$P$13,0)))</f>
        <v/>
      </c>
      <c r="G27" s="46">
        <f>IF(B27="","",MAX(N(INDEX('Items'!$M$2:$M$13,MATCH($A27,'Items'!$P$2:$P$13,0))),N(F27)-E27))</f>
        <v/>
      </c>
      <c r="H27" s="34">
        <f>IF(B27="","",G27*N(INDEX('Items'!$F$2:$F$13,MATCH($A27,'Items'!$P$2:$P$13,0))))</f>
        <v/>
      </c>
      <c r="I27" s="41">
        <f>IF($A27&gt;MAX('Items'!$P$2:$P$13),"",INDEX('Items'!$N$2:$N$13,MATCH($A27,'Items'!$P$2:$P$13,0)))</f>
        <v/>
      </c>
    </row>
    <row r="28">
      <c r="A28" s="3" t="n">
        <v>24</v>
      </c>
      <c r="B28" s="41">
        <f>IF($A28&gt;MAX('Items'!$P$2:$P$13),"",INDEX('Items'!$A$2:$A$13,MATCH($A28,'Items'!$P$2:$P$13,0)))</f>
        <v/>
      </c>
      <c r="C28" s="41">
        <f>IF($A28&gt;MAX('Items'!$P$2:$P$13),"",INDEX('Items'!$B$2:$B$13,MATCH($A28,'Items'!$P$2:$P$13,0)))</f>
        <v/>
      </c>
      <c r="D28" s="41">
        <f>IF($A28&gt;MAX('Items'!$P$2:$P$13),"",INDEX('Items'!$E$2:$E$13,MATCH($A28,'Items'!$P$2:$P$13,0)))</f>
        <v/>
      </c>
      <c r="E28" s="46">
        <f>IF($A28&gt;MAX('Items'!$P$2:$P$13),"",INDEX('Items'!$K$2:$K$13,MATCH($A28,'Items'!$P$2:$P$13,0)))</f>
        <v/>
      </c>
      <c r="F28" s="46">
        <f>IF($A28&gt;MAX('Items'!$P$2:$P$13),"",INDEX('Items'!$L$2:$L$13,MATCH($A28,'Items'!$P$2:$P$13,0)))</f>
        <v/>
      </c>
      <c r="G28" s="46">
        <f>IF(B28="","",MAX(N(INDEX('Items'!$M$2:$M$13,MATCH($A28,'Items'!$P$2:$P$13,0))),N(F28)-E28))</f>
        <v/>
      </c>
      <c r="H28" s="34">
        <f>IF(B28="","",G28*N(INDEX('Items'!$F$2:$F$13,MATCH($A28,'Items'!$P$2:$P$13,0))))</f>
        <v/>
      </c>
      <c r="I28" s="41">
        <f>IF($A28&gt;MAX('Items'!$P$2:$P$13),"",INDEX('Items'!$N$2:$N$13,MATCH($A28,'Items'!$P$2:$P$13,0)))</f>
        <v/>
      </c>
    </row>
    <row r="29">
      <c r="A29" s="3" t="n">
        <v>25</v>
      </c>
      <c r="B29" s="41">
        <f>IF($A29&gt;MAX('Items'!$P$2:$P$13),"",INDEX('Items'!$A$2:$A$13,MATCH($A29,'Items'!$P$2:$P$13,0)))</f>
        <v/>
      </c>
      <c r="C29" s="41">
        <f>IF($A29&gt;MAX('Items'!$P$2:$P$13),"",INDEX('Items'!$B$2:$B$13,MATCH($A29,'Items'!$P$2:$P$13,0)))</f>
        <v/>
      </c>
      <c r="D29" s="41">
        <f>IF($A29&gt;MAX('Items'!$P$2:$P$13),"",INDEX('Items'!$E$2:$E$13,MATCH($A29,'Items'!$P$2:$P$13,0)))</f>
        <v/>
      </c>
      <c r="E29" s="46">
        <f>IF($A29&gt;MAX('Items'!$P$2:$P$13),"",INDEX('Items'!$K$2:$K$13,MATCH($A29,'Items'!$P$2:$P$13,0)))</f>
        <v/>
      </c>
      <c r="F29" s="46">
        <f>IF($A29&gt;MAX('Items'!$P$2:$P$13),"",INDEX('Items'!$L$2:$L$13,MATCH($A29,'Items'!$P$2:$P$13,0)))</f>
        <v/>
      </c>
      <c r="G29" s="46">
        <f>IF(B29="","",MAX(N(INDEX('Items'!$M$2:$M$13,MATCH($A29,'Items'!$P$2:$P$13,0))),N(F29)-E29))</f>
        <v/>
      </c>
      <c r="H29" s="34">
        <f>IF(B29="","",G29*N(INDEX('Items'!$F$2:$F$13,MATCH($A29,'Items'!$P$2:$P$13,0))))</f>
        <v/>
      </c>
      <c r="I29" s="41">
        <f>IF($A29&gt;MAX('Items'!$P$2:$P$13),"",INDEX('Items'!$N$2:$N$13,MATCH($A29,'Items'!$P$2:$P$13,0)))</f>
        <v/>
      </c>
    </row>
    <row r="30">
      <c r="A30" s="3" t="n">
        <v>26</v>
      </c>
      <c r="B30" s="41">
        <f>IF($A30&gt;MAX('Items'!$P$2:$P$13),"",INDEX('Items'!$A$2:$A$13,MATCH($A30,'Items'!$P$2:$P$13,0)))</f>
        <v/>
      </c>
      <c r="C30" s="41">
        <f>IF($A30&gt;MAX('Items'!$P$2:$P$13),"",INDEX('Items'!$B$2:$B$13,MATCH($A30,'Items'!$P$2:$P$13,0)))</f>
        <v/>
      </c>
      <c r="D30" s="41">
        <f>IF($A30&gt;MAX('Items'!$P$2:$P$13),"",INDEX('Items'!$E$2:$E$13,MATCH($A30,'Items'!$P$2:$P$13,0)))</f>
        <v/>
      </c>
      <c r="E30" s="46">
        <f>IF($A30&gt;MAX('Items'!$P$2:$P$13),"",INDEX('Items'!$K$2:$K$13,MATCH($A30,'Items'!$P$2:$P$13,0)))</f>
        <v/>
      </c>
      <c r="F30" s="46">
        <f>IF($A30&gt;MAX('Items'!$P$2:$P$13),"",INDEX('Items'!$L$2:$L$13,MATCH($A30,'Items'!$P$2:$P$13,0)))</f>
        <v/>
      </c>
      <c r="G30" s="46">
        <f>IF(B30="","",MAX(N(INDEX('Items'!$M$2:$M$13,MATCH($A30,'Items'!$P$2:$P$13,0))),N(F30)-E30))</f>
        <v/>
      </c>
      <c r="H30" s="34">
        <f>IF(B30="","",G30*N(INDEX('Items'!$F$2:$F$13,MATCH($A30,'Items'!$P$2:$P$13,0))))</f>
        <v/>
      </c>
      <c r="I30" s="41">
        <f>IF($A30&gt;MAX('Items'!$P$2:$P$13),"",INDEX('Items'!$N$2:$N$13,MATCH($A30,'Items'!$P$2:$P$13,0)))</f>
        <v/>
      </c>
    </row>
    <row r="31">
      <c r="A31" s="3" t="n">
        <v>27</v>
      </c>
      <c r="B31" s="41">
        <f>IF($A31&gt;MAX('Items'!$P$2:$P$13),"",INDEX('Items'!$A$2:$A$13,MATCH($A31,'Items'!$P$2:$P$13,0)))</f>
        <v/>
      </c>
      <c r="C31" s="41">
        <f>IF($A31&gt;MAX('Items'!$P$2:$P$13),"",INDEX('Items'!$B$2:$B$13,MATCH($A31,'Items'!$P$2:$P$13,0)))</f>
        <v/>
      </c>
      <c r="D31" s="41">
        <f>IF($A31&gt;MAX('Items'!$P$2:$P$13),"",INDEX('Items'!$E$2:$E$13,MATCH($A31,'Items'!$P$2:$P$13,0)))</f>
        <v/>
      </c>
      <c r="E31" s="46">
        <f>IF($A31&gt;MAX('Items'!$P$2:$P$13),"",INDEX('Items'!$K$2:$K$13,MATCH($A31,'Items'!$P$2:$P$13,0)))</f>
        <v/>
      </c>
      <c r="F31" s="46">
        <f>IF($A31&gt;MAX('Items'!$P$2:$P$13),"",INDEX('Items'!$L$2:$L$13,MATCH($A31,'Items'!$P$2:$P$13,0)))</f>
        <v/>
      </c>
      <c r="G31" s="46">
        <f>IF(B31="","",MAX(N(INDEX('Items'!$M$2:$M$13,MATCH($A31,'Items'!$P$2:$P$13,0))),N(F31)-E31))</f>
        <v/>
      </c>
      <c r="H31" s="34">
        <f>IF(B31="","",G31*N(INDEX('Items'!$F$2:$F$13,MATCH($A31,'Items'!$P$2:$P$13,0))))</f>
        <v/>
      </c>
      <c r="I31" s="41">
        <f>IF($A31&gt;MAX('Items'!$P$2:$P$13),"",INDEX('Items'!$N$2:$N$13,MATCH($A31,'Items'!$P$2:$P$13,0)))</f>
        <v/>
      </c>
    </row>
    <row r="32">
      <c r="A32" s="3" t="n">
        <v>28</v>
      </c>
      <c r="B32" s="41">
        <f>IF($A32&gt;MAX('Items'!$P$2:$P$13),"",INDEX('Items'!$A$2:$A$13,MATCH($A32,'Items'!$P$2:$P$13,0)))</f>
        <v/>
      </c>
      <c r="C32" s="41">
        <f>IF($A32&gt;MAX('Items'!$P$2:$P$13),"",INDEX('Items'!$B$2:$B$13,MATCH($A32,'Items'!$P$2:$P$13,0)))</f>
        <v/>
      </c>
      <c r="D32" s="41">
        <f>IF($A32&gt;MAX('Items'!$P$2:$P$13),"",INDEX('Items'!$E$2:$E$13,MATCH($A32,'Items'!$P$2:$P$13,0)))</f>
        <v/>
      </c>
      <c r="E32" s="46">
        <f>IF($A32&gt;MAX('Items'!$P$2:$P$13),"",INDEX('Items'!$K$2:$K$13,MATCH($A32,'Items'!$P$2:$P$13,0)))</f>
        <v/>
      </c>
      <c r="F32" s="46">
        <f>IF($A32&gt;MAX('Items'!$P$2:$P$13),"",INDEX('Items'!$L$2:$L$13,MATCH($A32,'Items'!$P$2:$P$13,0)))</f>
        <v/>
      </c>
      <c r="G32" s="46">
        <f>IF(B32="","",MAX(N(INDEX('Items'!$M$2:$M$13,MATCH($A32,'Items'!$P$2:$P$13,0))),N(F32)-E32))</f>
        <v/>
      </c>
      <c r="H32" s="34">
        <f>IF(B32="","",G32*N(INDEX('Items'!$F$2:$F$13,MATCH($A32,'Items'!$P$2:$P$13,0))))</f>
        <v/>
      </c>
      <c r="I32" s="41">
        <f>IF($A32&gt;MAX('Items'!$P$2:$P$13),"",INDEX('Items'!$N$2:$N$13,MATCH($A32,'Items'!$P$2:$P$13,0)))</f>
        <v/>
      </c>
    </row>
    <row r="33">
      <c r="A33" s="3" t="n">
        <v>29</v>
      </c>
      <c r="B33" s="41">
        <f>IF($A33&gt;MAX('Items'!$P$2:$P$13),"",INDEX('Items'!$A$2:$A$13,MATCH($A33,'Items'!$P$2:$P$13,0)))</f>
        <v/>
      </c>
      <c r="C33" s="41">
        <f>IF($A33&gt;MAX('Items'!$P$2:$P$13),"",INDEX('Items'!$B$2:$B$13,MATCH($A33,'Items'!$P$2:$P$13,0)))</f>
        <v/>
      </c>
      <c r="D33" s="41">
        <f>IF($A33&gt;MAX('Items'!$P$2:$P$13),"",INDEX('Items'!$E$2:$E$13,MATCH($A33,'Items'!$P$2:$P$13,0)))</f>
        <v/>
      </c>
      <c r="E33" s="46">
        <f>IF($A33&gt;MAX('Items'!$P$2:$P$13),"",INDEX('Items'!$K$2:$K$13,MATCH($A33,'Items'!$P$2:$P$13,0)))</f>
        <v/>
      </c>
      <c r="F33" s="46">
        <f>IF($A33&gt;MAX('Items'!$P$2:$P$13),"",INDEX('Items'!$L$2:$L$13,MATCH($A33,'Items'!$P$2:$P$13,0)))</f>
        <v/>
      </c>
      <c r="G33" s="46">
        <f>IF(B33="","",MAX(N(INDEX('Items'!$M$2:$M$13,MATCH($A33,'Items'!$P$2:$P$13,0))),N(F33)-E33))</f>
        <v/>
      </c>
      <c r="H33" s="34">
        <f>IF(B33="","",G33*N(INDEX('Items'!$F$2:$F$13,MATCH($A33,'Items'!$P$2:$P$13,0))))</f>
        <v/>
      </c>
      <c r="I33" s="41">
        <f>IF($A33&gt;MAX('Items'!$P$2:$P$13),"",INDEX('Items'!$N$2:$N$13,MATCH($A33,'Items'!$P$2:$P$13,0)))</f>
        <v/>
      </c>
    </row>
    <row r="34">
      <c r="A34" s="3" t="n">
        <v>30</v>
      </c>
      <c r="B34" s="41">
        <f>IF($A34&gt;MAX('Items'!$P$2:$P$13),"",INDEX('Items'!$A$2:$A$13,MATCH($A34,'Items'!$P$2:$P$13,0)))</f>
        <v/>
      </c>
      <c r="C34" s="41">
        <f>IF($A34&gt;MAX('Items'!$P$2:$P$13),"",INDEX('Items'!$B$2:$B$13,MATCH($A34,'Items'!$P$2:$P$13,0)))</f>
        <v/>
      </c>
      <c r="D34" s="41">
        <f>IF($A34&gt;MAX('Items'!$P$2:$P$13),"",INDEX('Items'!$E$2:$E$13,MATCH($A34,'Items'!$P$2:$P$13,0)))</f>
        <v/>
      </c>
      <c r="E34" s="46">
        <f>IF($A34&gt;MAX('Items'!$P$2:$P$13),"",INDEX('Items'!$K$2:$K$13,MATCH($A34,'Items'!$P$2:$P$13,0)))</f>
        <v/>
      </c>
      <c r="F34" s="46">
        <f>IF($A34&gt;MAX('Items'!$P$2:$P$13),"",INDEX('Items'!$L$2:$L$13,MATCH($A34,'Items'!$P$2:$P$13,0)))</f>
        <v/>
      </c>
      <c r="G34" s="46">
        <f>IF(B34="","",MAX(N(INDEX('Items'!$M$2:$M$13,MATCH($A34,'Items'!$P$2:$P$13,0))),N(F34)-E34))</f>
        <v/>
      </c>
      <c r="H34" s="34">
        <f>IF(B34="","",G34*N(INDEX('Items'!$F$2:$F$13,MATCH($A34,'Items'!$P$2:$P$13,0))))</f>
        <v/>
      </c>
      <c r="I34" s="41">
        <f>IF($A34&gt;MAX('Items'!$P$2:$P$13),"",INDEX('Items'!$N$2:$N$13,MATCH($A34,'Items'!$P$2:$P$13,0)))</f>
        <v/>
      </c>
    </row>
    <row r="35">
      <c r="A35" s="3" t="n">
        <v>31</v>
      </c>
      <c r="B35" s="41">
        <f>IF($A35&gt;MAX('Items'!$P$2:$P$13),"",INDEX('Items'!$A$2:$A$13,MATCH($A35,'Items'!$P$2:$P$13,0)))</f>
        <v/>
      </c>
      <c r="C35" s="41">
        <f>IF($A35&gt;MAX('Items'!$P$2:$P$13),"",INDEX('Items'!$B$2:$B$13,MATCH($A35,'Items'!$P$2:$P$13,0)))</f>
        <v/>
      </c>
      <c r="D35" s="41">
        <f>IF($A35&gt;MAX('Items'!$P$2:$P$13),"",INDEX('Items'!$E$2:$E$13,MATCH($A35,'Items'!$P$2:$P$13,0)))</f>
        <v/>
      </c>
      <c r="E35" s="46">
        <f>IF($A35&gt;MAX('Items'!$P$2:$P$13),"",INDEX('Items'!$K$2:$K$13,MATCH($A35,'Items'!$P$2:$P$13,0)))</f>
        <v/>
      </c>
      <c r="F35" s="46">
        <f>IF($A35&gt;MAX('Items'!$P$2:$P$13),"",INDEX('Items'!$L$2:$L$13,MATCH($A35,'Items'!$P$2:$P$13,0)))</f>
        <v/>
      </c>
      <c r="G35" s="46">
        <f>IF(B35="","",MAX(N(INDEX('Items'!$M$2:$M$13,MATCH($A35,'Items'!$P$2:$P$13,0))),N(F35)-E35))</f>
        <v/>
      </c>
      <c r="H35" s="34">
        <f>IF(B35="","",G35*N(INDEX('Items'!$F$2:$F$13,MATCH($A35,'Items'!$P$2:$P$13,0))))</f>
        <v/>
      </c>
      <c r="I35" s="41">
        <f>IF($A35&gt;MAX('Items'!$P$2:$P$13),"",INDEX('Items'!$N$2:$N$13,MATCH($A35,'Items'!$P$2:$P$13,0)))</f>
        <v/>
      </c>
    </row>
    <row r="36">
      <c r="A36" s="3" t="n">
        <v>32</v>
      </c>
      <c r="B36" s="41">
        <f>IF($A36&gt;MAX('Items'!$P$2:$P$13),"",INDEX('Items'!$A$2:$A$13,MATCH($A36,'Items'!$P$2:$P$13,0)))</f>
        <v/>
      </c>
      <c r="C36" s="41">
        <f>IF($A36&gt;MAX('Items'!$P$2:$P$13),"",INDEX('Items'!$B$2:$B$13,MATCH($A36,'Items'!$P$2:$P$13,0)))</f>
        <v/>
      </c>
      <c r="D36" s="41">
        <f>IF($A36&gt;MAX('Items'!$P$2:$P$13),"",INDEX('Items'!$E$2:$E$13,MATCH($A36,'Items'!$P$2:$P$13,0)))</f>
        <v/>
      </c>
      <c r="E36" s="46">
        <f>IF($A36&gt;MAX('Items'!$P$2:$P$13),"",INDEX('Items'!$K$2:$K$13,MATCH($A36,'Items'!$P$2:$P$13,0)))</f>
        <v/>
      </c>
      <c r="F36" s="46">
        <f>IF($A36&gt;MAX('Items'!$P$2:$P$13),"",INDEX('Items'!$L$2:$L$13,MATCH($A36,'Items'!$P$2:$P$13,0)))</f>
        <v/>
      </c>
      <c r="G36" s="46">
        <f>IF(B36="","",MAX(N(INDEX('Items'!$M$2:$M$13,MATCH($A36,'Items'!$P$2:$P$13,0))),N(F36)-E36))</f>
        <v/>
      </c>
      <c r="H36" s="34">
        <f>IF(B36="","",G36*N(INDEX('Items'!$F$2:$F$13,MATCH($A36,'Items'!$P$2:$P$13,0))))</f>
        <v/>
      </c>
      <c r="I36" s="41">
        <f>IF($A36&gt;MAX('Items'!$P$2:$P$13),"",INDEX('Items'!$N$2:$N$13,MATCH($A36,'Items'!$P$2:$P$13,0)))</f>
        <v/>
      </c>
    </row>
    <row r="37">
      <c r="A37" s="3" t="n">
        <v>33</v>
      </c>
      <c r="B37" s="41">
        <f>IF($A37&gt;MAX('Items'!$P$2:$P$13),"",INDEX('Items'!$A$2:$A$13,MATCH($A37,'Items'!$P$2:$P$13,0)))</f>
        <v/>
      </c>
      <c r="C37" s="41">
        <f>IF($A37&gt;MAX('Items'!$P$2:$P$13),"",INDEX('Items'!$B$2:$B$13,MATCH($A37,'Items'!$P$2:$P$13,0)))</f>
        <v/>
      </c>
      <c r="D37" s="41">
        <f>IF($A37&gt;MAX('Items'!$P$2:$P$13),"",INDEX('Items'!$E$2:$E$13,MATCH($A37,'Items'!$P$2:$P$13,0)))</f>
        <v/>
      </c>
      <c r="E37" s="46">
        <f>IF($A37&gt;MAX('Items'!$P$2:$P$13),"",INDEX('Items'!$K$2:$K$13,MATCH($A37,'Items'!$P$2:$P$13,0)))</f>
        <v/>
      </c>
      <c r="F37" s="46">
        <f>IF($A37&gt;MAX('Items'!$P$2:$P$13),"",INDEX('Items'!$L$2:$L$13,MATCH($A37,'Items'!$P$2:$P$13,0)))</f>
        <v/>
      </c>
      <c r="G37" s="46">
        <f>IF(B37="","",MAX(N(INDEX('Items'!$M$2:$M$13,MATCH($A37,'Items'!$P$2:$P$13,0))),N(F37)-E37))</f>
        <v/>
      </c>
      <c r="H37" s="34">
        <f>IF(B37="","",G37*N(INDEX('Items'!$F$2:$F$13,MATCH($A37,'Items'!$P$2:$P$13,0))))</f>
        <v/>
      </c>
      <c r="I37" s="41">
        <f>IF($A37&gt;MAX('Items'!$P$2:$P$13),"",INDEX('Items'!$N$2:$N$13,MATCH($A37,'Items'!$P$2:$P$13,0)))</f>
        <v/>
      </c>
    </row>
    <row r="38">
      <c r="A38" s="3" t="n">
        <v>34</v>
      </c>
      <c r="B38" s="41">
        <f>IF($A38&gt;MAX('Items'!$P$2:$P$13),"",INDEX('Items'!$A$2:$A$13,MATCH($A38,'Items'!$P$2:$P$13,0)))</f>
        <v/>
      </c>
      <c r="C38" s="41">
        <f>IF($A38&gt;MAX('Items'!$P$2:$P$13),"",INDEX('Items'!$B$2:$B$13,MATCH($A38,'Items'!$P$2:$P$13,0)))</f>
        <v/>
      </c>
      <c r="D38" s="41">
        <f>IF($A38&gt;MAX('Items'!$P$2:$P$13),"",INDEX('Items'!$E$2:$E$13,MATCH($A38,'Items'!$P$2:$P$13,0)))</f>
        <v/>
      </c>
      <c r="E38" s="46">
        <f>IF($A38&gt;MAX('Items'!$P$2:$P$13),"",INDEX('Items'!$K$2:$K$13,MATCH($A38,'Items'!$P$2:$P$13,0)))</f>
        <v/>
      </c>
      <c r="F38" s="46">
        <f>IF($A38&gt;MAX('Items'!$P$2:$P$13),"",INDEX('Items'!$L$2:$L$13,MATCH($A38,'Items'!$P$2:$P$13,0)))</f>
        <v/>
      </c>
      <c r="G38" s="46">
        <f>IF(B38="","",MAX(N(INDEX('Items'!$M$2:$M$13,MATCH($A38,'Items'!$P$2:$P$13,0))),N(F38)-E38))</f>
        <v/>
      </c>
      <c r="H38" s="34">
        <f>IF(B38="","",G38*N(INDEX('Items'!$F$2:$F$13,MATCH($A38,'Items'!$P$2:$P$13,0))))</f>
        <v/>
      </c>
      <c r="I38" s="41">
        <f>IF($A38&gt;MAX('Items'!$P$2:$P$13),"",INDEX('Items'!$N$2:$N$13,MATCH($A38,'Items'!$P$2:$P$13,0)))</f>
        <v/>
      </c>
    </row>
    <row r="39">
      <c r="A39" s="3" t="n">
        <v>35</v>
      </c>
      <c r="B39" s="41">
        <f>IF($A39&gt;MAX('Items'!$P$2:$P$13),"",INDEX('Items'!$A$2:$A$13,MATCH($A39,'Items'!$P$2:$P$13,0)))</f>
        <v/>
      </c>
      <c r="C39" s="41">
        <f>IF($A39&gt;MAX('Items'!$P$2:$P$13),"",INDEX('Items'!$B$2:$B$13,MATCH($A39,'Items'!$P$2:$P$13,0)))</f>
        <v/>
      </c>
      <c r="D39" s="41">
        <f>IF($A39&gt;MAX('Items'!$P$2:$P$13),"",INDEX('Items'!$E$2:$E$13,MATCH($A39,'Items'!$P$2:$P$13,0)))</f>
        <v/>
      </c>
      <c r="E39" s="46">
        <f>IF($A39&gt;MAX('Items'!$P$2:$P$13),"",INDEX('Items'!$K$2:$K$13,MATCH($A39,'Items'!$P$2:$P$13,0)))</f>
        <v/>
      </c>
      <c r="F39" s="46">
        <f>IF($A39&gt;MAX('Items'!$P$2:$P$13),"",INDEX('Items'!$L$2:$L$13,MATCH($A39,'Items'!$P$2:$P$13,0)))</f>
        <v/>
      </c>
      <c r="G39" s="46">
        <f>IF(B39="","",MAX(N(INDEX('Items'!$M$2:$M$13,MATCH($A39,'Items'!$P$2:$P$13,0))),N(F39)-E39))</f>
        <v/>
      </c>
      <c r="H39" s="34">
        <f>IF(B39="","",G39*N(INDEX('Items'!$F$2:$F$13,MATCH($A39,'Items'!$P$2:$P$13,0))))</f>
        <v/>
      </c>
      <c r="I39" s="41">
        <f>IF($A39&gt;MAX('Items'!$P$2:$P$13),"",INDEX('Items'!$N$2:$N$13,MATCH($A39,'Items'!$P$2:$P$13,0)))</f>
        <v/>
      </c>
    </row>
    <row r="40">
      <c r="A40" s="3" t="n">
        <v>36</v>
      </c>
      <c r="B40" s="41">
        <f>IF($A40&gt;MAX('Items'!$P$2:$P$13),"",INDEX('Items'!$A$2:$A$13,MATCH($A40,'Items'!$P$2:$P$13,0)))</f>
        <v/>
      </c>
      <c r="C40" s="41">
        <f>IF($A40&gt;MAX('Items'!$P$2:$P$13),"",INDEX('Items'!$B$2:$B$13,MATCH($A40,'Items'!$P$2:$P$13,0)))</f>
        <v/>
      </c>
      <c r="D40" s="41">
        <f>IF($A40&gt;MAX('Items'!$P$2:$P$13),"",INDEX('Items'!$E$2:$E$13,MATCH($A40,'Items'!$P$2:$P$13,0)))</f>
        <v/>
      </c>
      <c r="E40" s="46">
        <f>IF($A40&gt;MAX('Items'!$P$2:$P$13),"",INDEX('Items'!$K$2:$K$13,MATCH($A40,'Items'!$P$2:$P$13,0)))</f>
        <v/>
      </c>
      <c r="F40" s="46">
        <f>IF($A40&gt;MAX('Items'!$P$2:$P$13),"",INDEX('Items'!$L$2:$L$13,MATCH($A40,'Items'!$P$2:$P$13,0)))</f>
        <v/>
      </c>
      <c r="G40" s="46">
        <f>IF(B40="","",MAX(N(INDEX('Items'!$M$2:$M$13,MATCH($A40,'Items'!$P$2:$P$13,0))),N(F40)-E40))</f>
        <v/>
      </c>
      <c r="H40" s="34">
        <f>IF(B40="","",G40*N(INDEX('Items'!$F$2:$F$13,MATCH($A40,'Items'!$P$2:$P$13,0))))</f>
        <v/>
      </c>
      <c r="I40" s="41">
        <f>IF($A40&gt;MAX('Items'!$P$2:$P$13),"",INDEX('Items'!$N$2:$N$13,MATCH($A40,'Items'!$P$2:$P$13,0)))</f>
        <v/>
      </c>
    </row>
    <row r="41">
      <c r="A41" s="3" t="n">
        <v>37</v>
      </c>
      <c r="B41" s="41">
        <f>IF($A41&gt;MAX('Items'!$P$2:$P$13),"",INDEX('Items'!$A$2:$A$13,MATCH($A41,'Items'!$P$2:$P$13,0)))</f>
        <v/>
      </c>
      <c r="C41" s="41">
        <f>IF($A41&gt;MAX('Items'!$P$2:$P$13),"",INDEX('Items'!$B$2:$B$13,MATCH($A41,'Items'!$P$2:$P$13,0)))</f>
        <v/>
      </c>
      <c r="D41" s="41">
        <f>IF($A41&gt;MAX('Items'!$P$2:$P$13),"",INDEX('Items'!$E$2:$E$13,MATCH($A41,'Items'!$P$2:$P$13,0)))</f>
        <v/>
      </c>
      <c r="E41" s="46">
        <f>IF($A41&gt;MAX('Items'!$P$2:$P$13),"",INDEX('Items'!$K$2:$K$13,MATCH($A41,'Items'!$P$2:$P$13,0)))</f>
        <v/>
      </c>
      <c r="F41" s="46">
        <f>IF($A41&gt;MAX('Items'!$P$2:$P$13),"",INDEX('Items'!$L$2:$L$13,MATCH($A41,'Items'!$P$2:$P$13,0)))</f>
        <v/>
      </c>
      <c r="G41" s="46">
        <f>IF(B41="","",MAX(N(INDEX('Items'!$M$2:$M$13,MATCH($A41,'Items'!$P$2:$P$13,0))),N(F41)-E41))</f>
        <v/>
      </c>
      <c r="H41" s="34">
        <f>IF(B41="","",G41*N(INDEX('Items'!$F$2:$F$13,MATCH($A41,'Items'!$P$2:$P$13,0))))</f>
        <v/>
      </c>
      <c r="I41" s="41">
        <f>IF($A41&gt;MAX('Items'!$P$2:$P$13),"",INDEX('Items'!$N$2:$N$13,MATCH($A41,'Items'!$P$2:$P$13,0)))</f>
        <v/>
      </c>
    </row>
    <row r="42">
      <c r="A42" s="3" t="n">
        <v>38</v>
      </c>
      <c r="B42" s="41">
        <f>IF($A42&gt;MAX('Items'!$P$2:$P$13),"",INDEX('Items'!$A$2:$A$13,MATCH($A42,'Items'!$P$2:$P$13,0)))</f>
        <v/>
      </c>
      <c r="C42" s="41">
        <f>IF($A42&gt;MAX('Items'!$P$2:$P$13),"",INDEX('Items'!$B$2:$B$13,MATCH($A42,'Items'!$P$2:$P$13,0)))</f>
        <v/>
      </c>
      <c r="D42" s="41">
        <f>IF($A42&gt;MAX('Items'!$P$2:$P$13),"",INDEX('Items'!$E$2:$E$13,MATCH($A42,'Items'!$P$2:$P$13,0)))</f>
        <v/>
      </c>
      <c r="E42" s="46">
        <f>IF($A42&gt;MAX('Items'!$P$2:$P$13),"",INDEX('Items'!$K$2:$K$13,MATCH($A42,'Items'!$P$2:$P$13,0)))</f>
        <v/>
      </c>
      <c r="F42" s="46">
        <f>IF($A42&gt;MAX('Items'!$P$2:$P$13),"",INDEX('Items'!$L$2:$L$13,MATCH($A42,'Items'!$P$2:$P$13,0)))</f>
        <v/>
      </c>
      <c r="G42" s="46">
        <f>IF(B42="","",MAX(N(INDEX('Items'!$M$2:$M$13,MATCH($A42,'Items'!$P$2:$P$13,0))),N(F42)-E42))</f>
        <v/>
      </c>
      <c r="H42" s="34">
        <f>IF(B42="","",G42*N(INDEX('Items'!$F$2:$F$13,MATCH($A42,'Items'!$P$2:$P$13,0))))</f>
        <v/>
      </c>
      <c r="I42" s="41">
        <f>IF($A42&gt;MAX('Items'!$P$2:$P$13),"",INDEX('Items'!$N$2:$N$13,MATCH($A42,'Items'!$P$2:$P$13,0)))</f>
        <v/>
      </c>
    </row>
    <row r="43">
      <c r="A43" s="3" t="n">
        <v>39</v>
      </c>
      <c r="B43" s="41">
        <f>IF($A43&gt;MAX('Items'!$P$2:$P$13),"",INDEX('Items'!$A$2:$A$13,MATCH($A43,'Items'!$P$2:$P$13,0)))</f>
        <v/>
      </c>
      <c r="C43" s="41">
        <f>IF($A43&gt;MAX('Items'!$P$2:$P$13),"",INDEX('Items'!$B$2:$B$13,MATCH($A43,'Items'!$P$2:$P$13,0)))</f>
        <v/>
      </c>
      <c r="D43" s="41">
        <f>IF($A43&gt;MAX('Items'!$P$2:$P$13),"",INDEX('Items'!$E$2:$E$13,MATCH($A43,'Items'!$P$2:$P$13,0)))</f>
        <v/>
      </c>
      <c r="E43" s="46">
        <f>IF($A43&gt;MAX('Items'!$P$2:$P$13),"",INDEX('Items'!$K$2:$K$13,MATCH($A43,'Items'!$P$2:$P$13,0)))</f>
        <v/>
      </c>
      <c r="F43" s="46">
        <f>IF($A43&gt;MAX('Items'!$P$2:$P$13),"",INDEX('Items'!$L$2:$L$13,MATCH($A43,'Items'!$P$2:$P$13,0)))</f>
        <v/>
      </c>
      <c r="G43" s="46">
        <f>IF(B43="","",MAX(N(INDEX('Items'!$M$2:$M$13,MATCH($A43,'Items'!$P$2:$P$13,0))),N(F43)-E43))</f>
        <v/>
      </c>
      <c r="H43" s="34">
        <f>IF(B43="","",G43*N(INDEX('Items'!$F$2:$F$13,MATCH($A43,'Items'!$P$2:$P$13,0))))</f>
        <v/>
      </c>
      <c r="I43" s="41">
        <f>IF($A43&gt;MAX('Items'!$P$2:$P$13),"",INDEX('Items'!$N$2:$N$13,MATCH($A43,'Items'!$P$2:$P$13,0)))</f>
        <v/>
      </c>
    </row>
    <row r="44">
      <c r="A44" s="3" t="n">
        <v>40</v>
      </c>
      <c r="B44" s="41">
        <f>IF($A44&gt;MAX('Items'!$P$2:$P$13),"",INDEX('Items'!$A$2:$A$13,MATCH($A44,'Items'!$P$2:$P$13,0)))</f>
        <v/>
      </c>
      <c r="C44" s="41">
        <f>IF($A44&gt;MAX('Items'!$P$2:$P$13),"",INDEX('Items'!$B$2:$B$13,MATCH($A44,'Items'!$P$2:$P$13,0)))</f>
        <v/>
      </c>
      <c r="D44" s="41">
        <f>IF($A44&gt;MAX('Items'!$P$2:$P$13),"",INDEX('Items'!$E$2:$E$13,MATCH($A44,'Items'!$P$2:$P$13,0)))</f>
        <v/>
      </c>
      <c r="E44" s="46">
        <f>IF($A44&gt;MAX('Items'!$P$2:$P$13),"",INDEX('Items'!$K$2:$K$13,MATCH($A44,'Items'!$P$2:$P$13,0)))</f>
        <v/>
      </c>
      <c r="F44" s="46">
        <f>IF($A44&gt;MAX('Items'!$P$2:$P$13),"",INDEX('Items'!$L$2:$L$13,MATCH($A44,'Items'!$P$2:$P$13,0)))</f>
        <v/>
      </c>
      <c r="G44" s="46">
        <f>IF(B44="","",MAX(N(INDEX('Items'!$M$2:$M$13,MATCH($A44,'Items'!$P$2:$P$13,0))),N(F44)-E44))</f>
        <v/>
      </c>
      <c r="H44" s="34">
        <f>IF(B44="","",G44*N(INDEX('Items'!$F$2:$F$13,MATCH($A44,'Items'!$P$2:$P$13,0))))</f>
        <v/>
      </c>
      <c r="I44" s="41">
        <f>IF($A44&gt;MAX('Items'!$P$2:$P$13),"",INDEX('Items'!$N$2:$N$13,MATCH($A44,'Items'!$P$2:$P$13,0)))</f>
        <v/>
      </c>
    </row>
    <row r="45">
      <c r="A45" s="3" t="n">
        <v>41</v>
      </c>
      <c r="B45" s="41">
        <f>IF($A45&gt;MAX('Items'!$P$2:$P$13),"",INDEX('Items'!$A$2:$A$13,MATCH($A45,'Items'!$P$2:$P$13,0)))</f>
        <v/>
      </c>
      <c r="C45" s="41">
        <f>IF($A45&gt;MAX('Items'!$P$2:$P$13),"",INDEX('Items'!$B$2:$B$13,MATCH($A45,'Items'!$P$2:$P$13,0)))</f>
        <v/>
      </c>
      <c r="D45" s="41">
        <f>IF($A45&gt;MAX('Items'!$P$2:$P$13),"",INDEX('Items'!$E$2:$E$13,MATCH($A45,'Items'!$P$2:$P$13,0)))</f>
        <v/>
      </c>
      <c r="E45" s="46">
        <f>IF($A45&gt;MAX('Items'!$P$2:$P$13),"",INDEX('Items'!$K$2:$K$13,MATCH($A45,'Items'!$P$2:$P$13,0)))</f>
        <v/>
      </c>
      <c r="F45" s="46">
        <f>IF($A45&gt;MAX('Items'!$P$2:$P$13),"",INDEX('Items'!$L$2:$L$13,MATCH($A45,'Items'!$P$2:$P$13,0)))</f>
        <v/>
      </c>
      <c r="G45" s="46">
        <f>IF(B45="","",MAX(N(INDEX('Items'!$M$2:$M$13,MATCH($A45,'Items'!$P$2:$P$13,0))),N(F45)-E45))</f>
        <v/>
      </c>
      <c r="H45" s="34">
        <f>IF(B45="","",G45*N(INDEX('Items'!$F$2:$F$13,MATCH($A45,'Items'!$P$2:$P$13,0))))</f>
        <v/>
      </c>
      <c r="I45" s="41">
        <f>IF($A45&gt;MAX('Items'!$P$2:$P$13),"",INDEX('Items'!$N$2:$N$13,MATCH($A45,'Items'!$P$2:$P$13,0)))</f>
        <v/>
      </c>
    </row>
    <row r="46">
      <c r="A46" s="3" t="n">
        <v>42</v>
      </c>
      <c r="B46" s="41">
        <f>IF($A46&gt;MAX('Items'!$P$2:$P$13),"",INDEX('Items'!$A$2:$A$13,MATCH($A46,'Items'!$P$2:$P$13,0)))</f>
        <v/>
      </c>
      <c r="C46" s="41">
        <f>IF($A46&gt;MAX('Items'!$P$2:$P$13),"",INDEX('Items'!$B$2:$B$13,MATCH($A46,'Items'!$P$2:$P$13,0)))</f>
        <v/>
      </c>
      <c r="D46" s="41">
        <f>IF($A46&gt;MAX('Items'!$P$2:$P$13),"",INDEX('Items'!$E$2:$E$13,MATCH($A46,'Items'!$P$2:$P$13,0)))</f>
        <v/>
      </c>
      <c r="E46" s="46">
        <f>IF($A46&gt;MAX('Items'!$P$2:$P$13),"",INDEX('Items'!$K$2:$K$13,MATCH($A46,'Items'!$P$2:$P$13,0)))</f>
        <v/>
      </c>
      <c r="F46" s="46">
        <f>IF($A46&gt;MAX('Items'!$P$2:$P$13),"",INDEX('Items'!$L$2:$L$13,MATCH($A46,'Items'!$P$2:$P$13,0)))</f>
        <v/>
      </c>
      <c r="G46" s="46">
        <f>IF(B46="","",MAX(N(INDEX('Items'!$M$2:$M$13,MATCH($A46,'Items'!$P$2:$P$13,0))),N(F46)-E46))</f>
        <v/>
      </c>
      <c r="H46" s="34">
        <f>IF(B46="","",G46*N(INDEX('Items'!$F$2:$F$13,MATCH($A46,'Items'!$P$2:$P$13,0))))</f>
        <v/>
      </c>
      <c r="I46" s="41">
        <f>IF($A46&gt;MAX('Items'!$P$2:$P$13),"",INDEX('Items'!$N$2:$N$13,MATCH($A46,'Items'!$P$2:$P$13,0)))</f>
        <v/>
      </c>
    </row>
    <row r="47">
      <c r="A47" s="3" t="n">
        <v>43</v>
      </c>
      <c r="B47" s="41">
        <f>IF($A47&gt;MAX('Items'!$P$2:$P$13),"",INDEX('Items'!$A$2:$A$13,MATCH($A47,'Items'!$P$2:$P$13,0)))</f>
        <v/>
      </c>
      <c r="C47" s="41">
        <f>IF($A47&gt;MAX('Items'!$P$2:$P$13),"",INDEX('Items'!$B$2:$B$13,MATCH($A47,'Items'!$P$2:$P$13,0)))</f>
        <v/>
      </c>
      <c r="D47" s="41">
        <f>IF($A47&gt;MAX('Items'!$P$2:$P$13),"",INDEX('Items'!$E$2:$E$13,MATCH($A47,'Items'!$P$2:$P$13,0)))</f>
        <v/>
      </c>
      <c r="E47" s="46">
        <f>IF($A47&gt;MAX('Items'!$P$2:$P$13),"",INDEX('Items'!$K$2:$K$13,MATCH($A47,'Items'!$P$2:$P$13,0)))</f>
        <v/>
      </c>
      <c r="F47" s="46">
        <f>IF($A47&gt;MAX('Items'!$P$2:$P$13),"",INDEX('Items'!$L$2:$L$13,MATCH($A47,'Items'!$P$2:$P$13,0)))</f>
        <v/>
      </c>
      <c r="G47" s="46">
        <f>IF(B47="","",MAX(N(INDEX('Items'!$M$2:$M$13,MATCH($A47,'Items'!$P$2:$P$13,0))),N(F47)-E47))</f>
        <v/>
      </c>
      <c r="H47" s="34">
        <f>IF(B47="","",G47*N(INDEX('Items'!$F$2:$F$13,MATCH($A47,'Items'!$P$2:$P$13,0))))</f>
        <v/>
      </c>
      <c r="I47" s="41">
        <f>IF($A47&gt;MAX('Items'!$P$2:$P$13),"",INDEX('Items'!$N$2:$N$13,MATCH($A47,'Items'!$P$2:$P$13,0)))</f>
        <v/>
      </c>
    </row>
    <row r="48">
      <c r="A48" s="3" t="n">
        <v>44</v>
      </c>
      <c r="B48" s="41">
        <f>IF($A48&gt;MAX('Items'!$P$2:$P$13),"",INDEX('Items'!$A$2:$A$13,MATCH($A48,'Items'!$P$2:$P$13,0)))</f>
        <v/>
      </c>
      <c r="C48" s="41">
        <f>IF($A48&gt;MAX('Items'!$P$2:$P$13),"",INDEX('Items'!$B$2:$B$13,MATCH($A48,'Items'!$P$2:$P$13,0)))</f>
        <v/>
      </c>
      <c r="D48" s="41">
        <f>IF($A48&gt;MAX('Items'!$P$2:$P$13),"",INDEX('Items'!$E$2:$E$13,MATCH($A48,'Items'!$P$2:$P$13,0)))</f>
        <v/>
      </c>
      <c r="E48" s="46">
        <f>IF($A48&gt;MAX('Items'!$P$2:$P$13),"",INDEX('Items'!$K$2:$K$13,MATCH($A48,'Items'!$P$2:$P$13,0)))</f>
        <v/>
      </c>
      <c r="F48" s="46">
        <f>IF($A48&gt;MAX('Items'!$P$2:$P$13),"",INDEX('Items'!$L$2:$L$13,MATCH($A48,'Items'!$P$2:$P$13,0)))</f>
        <v/>
      </c>
      <c r="G48" s="46">
        <f>IF(B48="","",MAX(N(INDEX('Items'!$M$2:$M$13,MATCH($A48,'Items'!$P$2:$P$13,0))),N(F48)-E48))</f>
        <v/>
      </c>
      <c r="H48" s="34">
        <f>IF(B48="","",G48*N(INDEX('Items'!$F$2:$F$13,MATCH($A48,'Items'!$P$2:$P$13,0))))</f>
        <v/>
      </c>
      <c r="I48" s="41">
        <f>IF($A48&gt;MAX('Items'!$P$2:$P$13),"",INDEX('Items'!$N$2:$N$13,MATCH($A48,'Items'!$P$2:$P$13,0)))</f>
        <v/>
      </c>
    </row>
    <row r="49">
      <c r="A49" s="3" t="n">
        <v>45</v>
      </c>
      <c r="B49" s="41">
        <f>IF($A49&gt;MAX('Items'!$P$2:$P$13),"",INDEX('Items'!$A$2:$A$13,MATCH($A49,'Items'!$P$2:$P$13,0)))</f>
        <v/>
      </c>
      <c r="C49" s="41">
        <f>IF($A49&gt;MAX('Items'!$P$2:$P$13),"",INDEX('Items'!$B$2:$B$13,MATCH($A49,'Items'!$P$2:$P$13,0)))</f>
        <v/>
      </c>
      <c r="D49" s="41">
        <f>IF($A49&gt;MAX('Items'!$P$2:$P$13),"",INDEX('Items'!$E$2:$E$13,MATCH($A49,'Items'!$P$2:$P$13,0)))</f>
        <v/>
      </c>
      <c r="E49" s="46">
        <f>IF($A49&gt;MAX('Items'!$P$2:$P$13),"",INDEX('Items'!$K$2:$K$13,MATCH($A49,'Items'!$P$2:$P$13,0)))</f>
        <v/>
      </c>
      <c r="F49" s="46">
        <f>IF($A49&gt;MAX('Items'!$P$2:$P$13),"",INDEX('Items'!$L$2:$L$13,MATCH($A49,'Items'!$P$2:$P$13,0)))</f>
        <v/>
      </c>
      <c r="G49" s="46">
        <f>IF(B49="","",MAX(N(INDEX('Items'!$M$2:$M$13,MATCH($A49,'Items'!$P$2:$P$13,0))),N(F49)-E49))</f>
        <v/>
      </c>
      <c r="H49" s="34">
        <f>IF(B49="","",G49*N(INDEX('Items'!$F$2:$F$13,MATCH($A49,'Items'!$P$2:$P$13,0))))</f>
        <v/>
      </c>
      <c r="I49" s="41">
        <f>IF($A49&gt;MAX('Items'!$P$2:$P$13),"",INDEX('Items'!$N$2:$N$13,MATCH($A49,'Items'!$P$2:$P$13,0)))</f>
        <v/>
      </c>
    </row>
    <row r="50">
      <c r="A50" s="3" t="n">
        <v>46</v>
      </c>
      <c r="B50" s="41">
        <f>IF($A50&gt;MAX('Items'!$P$2:$P$13),"",INDEX('Items'!$A$2:$A$13,MATCH($A50,'Items'!$P$2:$P$13,0)))</f>
        <v/>
      </c>
      <c r="C50" s="41">
        <f>IF($A50&gt;MAX('Items'!$P$2:$P$13),"",INDEX('Items'!$B$2:$B$13,MATCH($A50,'Items'!$P$2:$P$13,0)))</f>
        <v/>
      </c>
      <c r="D50" s="41">
        <f>IF($A50&gt;MAX('Items'!$P$2:$P$13),"",INDEX('Items'!$E$2:$E$13,MATCH($A50,'Items'!$P$2:$P$13,0)))</f>
        <v/>
      </c>
      <c r="E50" s="46">
        <f>IF($A50&gt;MAX('Items'!$P$2:$P$13),"",INDEX('Items'!$K$2:$K$13,MATCH($A50,'Items'!$P$2:$P$13,0)))</f>
        <v/>
      </c>
      <c r="F50" s="46">
        <f>IF($A50&gt;MAX('Items'!$P$2:$P$13),"",INDEX('Items'!$L$2:$L$13,MATCH($A50,'Items'!$P$2:$P$13,0)))</f>
        <v/>
      </c>
      <c r="G50" s="46">
        <f>IF(B50="","",MAX(N(INDEX('Items'!$M$2:$M$13,MATCH($A50,'Items'!$P$2:$P$13,0))),N(F50)-E50))</f>
        <v/>
      </c>
      <c r="H50" s="34">
        <f>IF(B50="","",G50*N(INDEX('Items'!$F$2:$F$13,MATCH($A50,'Items'!$P$2:$P$13,0))))</f>
        <v/>
      </c>
      <c r="I50" s="41">
        <f>IF($A50&gt;MAX('Items'!$P$2:$P$13),"",INDEX('Items'!$N$2:$N$13,MATCH($A50,'Items'!$P$2:$P$13,0)))</f>
        <v/>
      </c>
    </row>
    <row r="51">
      <c r="A51" s="3" t="n">
        <v>47</v>
      </c>
      <c r="B51" s="41">
        <f>IF($A51&gt;MAX('Items'!$P$2:$P$13),"",INDEX('Items'!$A$2:$A$13,MATCH($A51,'Items'!$P$2:$P$13,0)))</f>
        <v/>
      </c>
      <c r="C51" s="41">
        <f>IF($A51&gt;MAX('Items'!$P$2:$P$13),"",INDEX('Items'!$B$2:$B$13,MATCH($A51,'Items'!$P$2:$P$13,0)))</f>
        <v/>
      </c>
      <c r="D51" s="41">
        <f>IF($A51&gt;MAX('Items'!$P$2:$P$13),"",INDEX('Items'!$E$2:$E$13,MATCH($A51,'Items'!$P$2:$P$13,0)))</f>
        <v/>
      </c>
      <c r="E51" s="46">
        <f>IF($A51&gt;MAX('Items'!$P$2:$P$13),"",INDEX('Items'!$K$2:$K$13,MATCH($A51,'Items'!$P$2:$P$13,0)))</f>
        <v/>
      </c>
      <c r="F51" s="46">
        <f>IF($A51&gt;MAX('Items'!$P$2:$P$13),"",INDEX('Items'!$L$2:$L$13,MATCH($A51,'Items'!$P$2:$P$13,0)))</f>
        <v/>
      </c>
      <c r="G51" s="46">
        <f>IF(B51="","",MAX(N(INDEX('Items'!$M$2:$M$13,MATCH($A51,'Items'!$P$2:$P$13,0))),N(F51)-E51))</f>
        <v/>
      </c>
      <c r="H51" s="34">
        <f>IF(B51="","",G51*N(INDEX('Items'!$F$2:$F$13,MATCH($A51,'Items'!$P$2:$P$13,0))))</f>
        <v/>
      </c>
      <c r="I51" s="41">
        <f>IF($A51&gt;MAX('Items'!$P$2:$P$13),"",INDEX('Items'!$N$2:$N$13,MATCH($A51,'Items'!$P$2:$P$13,0)))</f>
        <v/>
      </c>
    </row>
    <row r="52">
      <c r="A52" s="3" t="n">
        <v>48</v>
      </c>
      <c r="B52" s="41">
        <f>IF($A52&gt;MAX('Items'!$P$2:$P$13),"",INDEX('Items'!$A$2:$A$13,MATCH($A52,'Items'!$P$2:$P$13,0)))</f>
        <v/>
      </c>
      <c r="C52" s="41">
        <f>IF($A52&gt;MAX('Items'!$P$2:$P$13),"",INDEX('Items'!$B$2:$B$13,MATCH($A52,'Items'!$P$2:$P$13,0)))</f>
        <v/>
      </c>
      <c r="D52" s="41">
        <f>IF($A52&gt;MAX('Items'!$P$2:$P$13),"",INDEX('Items'!$E$2:$E$13,MATCH($A52,'Items'!$P$2:$P$13,0)))</f>
        <v/>
      </c>
      <c r="E52" s="46">
        <f>IF($A52&gt;MAX('Items'!$P$2:$P$13),"",INDEX('Items'!$K$2:$K$13,MATCH($A52,'Items'!$P$2:$P$13,0)))</f>
        <v/>
      </c>
      <c r="F52" s="46">
        <f>IF($A52&gt;MAX('Items'!$P$2:$P$13),"",INDEX('Items'!$L$2:$L$13,MATCH($A52,'Items'!$P$2:$P$13,0)))</f>
        <v/>
      </c>
      <c r="G52" s="46">
        <f>IF(B52="","",MAX(N(INDEX('Items'!$M$2:$M$13,MATCH($A52,'Items'!$P$2:$P$13,0))),N(F52)-E52))</f>
        <v/>
      </c>
      <c r="H52" s="34">
        <f>IF(B52="","",G52*N(INDEX('Items'!$F$2:$F$13,MATCH($A52,'Items'!$P$2:$P$13,0))))</f>
        <v/>
      </c>
      <c r="I52" s="41">
        <f>IF($A52&gt;MAX('Items'!$P$2:$P$13),"",INDEX('Items'!$N$2:$N$13,MATCH($A52,'Items'!$P$2:$P$13,0)))</f>
        <v/>
      </c>
    </row>
    <row r="53">
      <c r="A53" s="3" t="n">
        <v>49</v>
      </c>
      <c r="B53" s="41">
        <f>IF($A53&gt;MAX('Items'!$P$2:$P$13),"",INDEX('Items'!$A$2:$A$13,MATCH($A53,'Items'!$P$2:$P$13,0)))</f>
        <v/>
      </c>
      <c r="C53" s="41">
        <f>IF($A53&gt;MAX('Items'!$P$2:$P$13),"",INDEX('Items'!$B$2:$B$13,MATCH($A53,'Items'!$P$2:$P$13,0)))</f>
        <v/>
      </c>
      <c r="D53" s="41">
        <f>IF($A53&gt;MAX('Items'!$P$2:$P$13),"",INDEX('Items'!$E$2:$E$13,MATCH($A53,'Items'!$P$2:$P$13,0)))</f>
        <v/>
      </c>
      <c r="E53" s="46">
        <f>IF($A53&gt;MAX('Items'!$P$2:$P$13),"",INDEX('Items'!$K$2:$K$13,MATCH($A53,'Items'!$P$2:$P$13,0)))</f>
        <v/>
      </c>
      <c r="F53" s="46">
        <f>IF($A53&gt;MAX('Items'!$P$2:$P$13),"",INDEX('Items'!$L$2:$L$13,MATCH($A53,'Items'!$P$2:$P$13,0)))</f>
        <v/>
      </c>
      <c r="G53" s="46">
        <f>IF(B53="","",MAX(N(INDEX('Items'!$M$2:$M$13,MATCH($A53,'Items'!$P$2:$P$13,0))),N(F53)-E53))</f>
        <v/>
      </c>
      <c r="H53" s="34">
        <f>IF(B53="","",G53*N(INDEX('Items'!$F$2:$F$13,MATCH($A53,'Items'!$P$2:$P$13,0))))</f>
        <v/>
      </c>
      <c r="I53" s="41">
        <f>IF($A53&gt;MAX('Items'!$P$2:$P$13),"",INDEX('Items'!$N$2:$N$13,MATCH($A53,'Items'!$P$2:$P$13,0)))</f>
        <v/>
      </c>
    </row>
    <row r="54">
      <c r="A54" s="3" t="n">
        <v>50</v>
      </c>
      <c r="B54" s="41">
        <f>IF($A54&gt;MAX('Items'!$P$2:$P$13),"",INDEX('Items'!$A$2:$A$13,MATCH($A54,'Items'!$P$2:$P$13,0)))</f>
        <v/>
      </c>
      <c r="C54" s="41">
        <f>IF($A54&gt;MAX('Items'!$P$2:$P$13),"",INDEX('Items'!$B$2:$B$13,MATCH($A54,'Items'!$P$2:$P$13,0)))</f>
        <v/>
      </c>
      <c r="D54" s="41">
        <f>IF($A54&gt;MAX('Items'!$P$2:$P$13),"",INDEX('Items'!$E$2:$E$13,MATCH($A54,'Items'!$P$2:$P$13,0)))</f>
        <v/>
      </c>
      <c r="E54" s="46">
        <f>IF($A54&gt;MAX('Items'!$P$2:$P$13),"",INDEX('Items'!$K$2:$K$13,MATCH($A54,'Items'!$P$2:$P$13,0)))</f>
        <v/>
      </c>
      <c r="F54" s="46">
        <f>IF($A54&gt;MAX('Items'!$P$2:$P$13),"",INDEX('Items'!$L$2:$L$13,MATCH($A54,'Items'!$P$2:$P$13,0)))</f>
        <v/>
      </c>
      <c r="G54" s="46">
        <f>IF(B54="","",MAX(N(INDEX('Items'!$M$2:$M$13,MATCH($A54,'Items'!$P$2:$P$13,0))),N(F54)-E54))</f>
        <v/>
      </c>
      <c r="H54" s="34">
        <f>IF(B54="","",G54*N(INDEX('Items'!$F$2:$F$13,MATCH($A54,'Items'!$P$2:$P$13,0))))</f>
        <v/>
      </c>
      <c r="I54" s="41">
        <f>IF($A54&gt;MAX('Items'!$P$2:$P$13),"",INDEX('Items'!$N$2:$N$13,MATCH($A54,'Items'!$P$2:$P$13,0)))</f>
        <v/>
      </c>
    </row>
    <row r="55">
      <c r="A55" s="3" t="n">
        <v>51</v>
      </c>
      <c r="B55" s="41">
        <f>IF($A55&gt;MAX('Items'!$P$2:$P$13),"",INDEX('Items'!$A$2:$A$13,MATCH($A55,'Items'!$P$2:$P$13,0)))</f>
        <v/>
      </c>
      <c r="C55" s="41">
        <f>IF($A55&gt;MAX('Items'!$P$2:$P$13),"",INDEX('Items'!$B$2:$B$13,MATCH($A55,'Items'!$P$2:$P$13,0)))</f>
        <v/>
      </c>
      <c r="D55" s="41">
        <f>IF($A55&gt;MAX('Items'!$P$2:$P$13),"",INDEX('Items'!$E$2:$E$13,MATCH($A55,'Items'!$P$2:$P$13,0)))</f>
        <v/>
      </c>
      <c r="E55" s="46">
        <f>IF($A55&gt;MAX('Items'!$P$2:$P$13),"",INDEX('Items'!$K$2:$K$13,MATCH($A55,'Items'!$P$2:$P$13,0)))</f>
        <v/>
      </c>
      <c r="F55" s="46">
        <f>IF($A55&gt;MAX('Items'!$P$2:$P$13),"",INDEX('Items'!$L$2:$L$13,MATCH($A55,'Items'!$P$2:$P$13,0)))</f>
        <v/>
      </c>
      <c r="G55" s="46">
        <f>IF(B55="","",MAX(N(INDEX('Items'!$M$2:$M$13,MATCH($A55,'Items'!$P$2:$P$13,0))),N(F55)-E55))</f>
        <v/>
      </c>
      <c r="H55" s="34">
        <f>IF(B55="","",G55*N(INDEX('Items'!$F$2:$F$13,MATCH($A55,'Items'!$P$2:$P$13,0))))</f>
        <v/>
      </c>
      <c r="I55" s="41">
        <f>IF($A55&gt;MAX('Items'!$P$2:$P$13),"",INDEX('Items'!$N$2:$N$13,MATCH($A55,'Items'!$P$2:$P$13,0)))</f>
        <v/>
      </c>
    </row>
    <row r="56">
      <c r="A56" s="3" t="n">
        <v>52</v>
      </c>
      <c r="B56" s="41">
        <f>IF($A56&gt;MAX('Items'!$P$2:$P$13),"",INDEX('Items'!$A$2:$A$13,MATCH($A56,'Items'!$P$2:$P$13,0)))</f>
        <v/>
      </c>
      <c r="C56" s="41">
        <f>IF($A56&gt;MAX('Items'!$P$2:$P$13),"",INDEX('Items'!$B$2:$B$13,MATCH($A56,'Items'!$P$2:$P$13,0)))</f>
        <v/>
      </c>
      <c r="D56" s="41">
        <f>IF($A56&gt;MAX('Items'!$P$2:$P$13),"",INDEX('Items'!$E$2:$E$13,MATCH($A56,'Items'!$P$2:$P$13,0)))</f>
        <v/>
      </c>
      <c r="E56" s="46">
        <f>IF($A56&gt;MAX('Items'!$P$2:$P$13),"",INDEX('Items'!$K$2:$K$13,MATCH($A56,'Items'!$P$2:$P$13,0)))</f>
        <v/>
      </c>
      <c r="F56" s="46">
        <f>IF($A56&gt;MAX('Items'!$P$2:$P$13),"",INDEX('Items'!$L$2:$L$13,MATCH($A56,'Items'!$P$2:$P$13,0)))</f>
        <v/>
      </c>
      <c r="G56" s="46">
        <f>IF(B56="","",MAX(N(INDEX('Items'!$M$2:$M$13,MATCH($A56,'Items'!$P$2:$P$13,0))),N(F56)-E56))</f>
        <v/>
      </c>
      <c r="H56" s="34">
        <f>IF(B56="","",G56*N(INDEX('Items'!$F$2:$F$13,MATCH($A56,'Items'!$P$2:$P$13,0))))</f>
        <v/>
      </c>
      <c r="I56" s="41">
        <f>IF($A56&gt;MAX('Items'!$P$2:$P$13),"",INDEX('Items'!$N$2:$N$13,MATCH($A56,'Items'!$P$2:$P$13,0)))</f>
        <v/>
      </c>
    </row>
    <row r="57">
      <c r="A57" s="3" t="n">
        <v>53</v>
      </c>
      <c r="B57" s="41">
        <f>IF($A57&gt;MAX('Items'!$P$2:$P$13),"",INDEX('Items'!$A$2:$A$13,MATCH($A57,'Items'!$P$2:$P$13,0)))</f>
        <v/>
      </c>
      <c r="C57" s="41">
        <f>IF($A57&gt;MAX('Items'!$P$2:$P$13),"",INDEX('Items'!$B$2:$B$13,MATCH($A57,'Items'!$P$2:$P$13,0)))</f>
        <v/>
      </c>
      <c r="D57" s="41">
        <f>IF($A57&gt;MAX('Items'!$P$2:$P$13),"",INDEX('Items'!$E$2:$E$13,MATCH($A57,'Items'!$P$2:$P$13,0)))</f>
        <v/>
      </c>
      <c r="E57" s="46">
        <f>IF($A57&gt;MAX('Items'!$P$2:$P$13),"",INDEX('Items'!$K$2:$K$13,MATCH($A57,'Items'!$P$2:$P$13,0)))</f>
        <v/>
      </c>
      <c r="F57" s="46">
        <f>IF($A57&gt;MAX('Items'!$P$2:$P$13),"",INDEX('Items'!$L$2:$L$13,MATCH($A57,'Items'!$P$2:$P$13,0)))</f>
        <v/>
      </c>
      <c r="G57" s="46">
        <f>IF(B57="","",MAX(N(INDEX('Items'!$M$2:$M$13,MATCH($A57,'Items'!$P$2:$P$13,0))),N(F57)-E57))</f>
        <v/>
      </c>
      <c r="H57" s="34">
        <f>IF(B57="","",G57*N(INDEX('Items'!$F$2:$F$13,MATCH($A57,'Items'!$P$2:$P$13,0))))</f>
        <v/>
      </c>
      <c r="I57" s="41">
        <f>IF($A57&gt;MAX('Items'!$P$2:$P$13),"",INDEX('Items'!$N$2:$N$13,MATCH($A57,'Items'!$P$2:$P$13,0)))</f>
        <v/>
      </c>
    </row>
    <row r="58">
      <c r="A58" s="3" t="n">
        <v>54</v>
      </c>
      <c r="B58" s="41">
        <f>IF($A58&gt;MAX('Items'!$P$2:$P$13),"",INDEX('Items'!$A$2:$A$13,MATCH($A58,'Items'!$P$2:$P$13,0)))</f>
        <v/>
      </c>
      <c r="C58" s="41">
        <f>IF($A58&gt;MAX('Items'!$P$2:$P$13),"",INDEX('Items'!$B$2:$B$13,MATCH($A58,'Items'!$P$2:$P$13,0)))</f>
        <v/>
      </c>
      <c r="D58" s="41">
        <f>IF($A58&gt;MAX('Items'!$P$2:$P$13),"",INDEX('Items'!$E$2:$E$13,MATCH($A58,'Items'!$P$2:$P$13,0)))</f>
        <v/>
      </c>
      <c r="E58" s="46">
        <f>IF($A58&gt;MAX('Items'!$P$2:$P$13),"",INDEX('Items'!$K$2:$K$13,MATCH($A58,'Items'!$P$2:$P$13,0)))</f>
        <v/>
      </c>
      <c r="F58" s="46">
        <f>IF($A58&gt;MAX('Items'!$P$2:$P$13),"",INDEX('Items'!$L$2:$L$13,MATCH($A58,'Items'!$P$2:$P$13,0)))</f>
        <v/>
      </c>
      <c r="G58" s="46">
        <f>IF(B58="","",MAX(N(INDEX('Items'!$M$2:$M$13,MATCH($A58,'Items'!$P$2:$P$13,0))),N(F58)-E58))</f>
        <v/>
      </c>
      <c r="H58" s="34">
        <f>IF(B58="","",G58*N(INDEX('Items'!$F$2:$F$13,MATCH($A58,'Items'!$P$2:$P$13,0))))</f>
        <v/>
      </c>
      <c r="I58" s="41">
        <f>IF($A58&gt;MAX('Items'!$P$2:$P$13),"",INDEX('Items'!$N$2:$N$13,MATCH($A58,'Items'!$P$2:$P$13,0)))</f>
        <v/>
      </c>
    </row>
    <row r="59">
      <c r="A59" s="3" t="n">
        <v>55</v>
      </c>
      <c r="B59" s="41">
        <f>IF($A59&gt;MAX('Items'!$P$2:$P$13),"",INDEX('Items'!$A$2:$A$13,MATCH($A59,'Items'!$P$2:$P$13,0)))</f>
        <v/>
      </c>
      <c r="C59" s="41">
        <f>IF($A59&gt;MAX('Items'!$P$2:$P$13),"",INDEX('Items'!$B$2:$B$13,MATCH($A59,'Items'!$P$2:$P$13,0)))</f>
        <v/>
      </c>
      <c r="D59" s="41">
        <f>IF($A59&gt;MAX('Items'!$P$2:$P$13),"",INDEX('Items'!$E$2:$E$13,MATCH($A59,'Items'!$P$2:$P$13,0)))</f>
        <v/>
      </c>
      <c r="E59" s="46">
        <f>IF($A59&gt;MAX('Items'!$P$2:$P$13),"",INDEX('Items'!$K$2:$K$13,MATCH($A59,'Items'!$P$2:$P$13,0)))</f>
        <v/>
      </c>
      <c r="F59" s="46">
        <f>IF($A59&gt;MAX('Items'!$P$2:$P$13),"",INDEX('Items'!$L$2:$L$13,MATCH($A59,'Items'!$P$2:$P$13,0)))</f>
        <v/>
      </c>
      <c r="G59" s="46">
        <f>IF(B59="","",MAX(N(INDEX('Items'!$M$2:$M$13,MATCH($A59,'Items'!$P$2:$P$13,0))),N(F59)-E59))</f>
        <v/>
      </c>
      <c r="H59" s="34">
        <f>IF(B59="","",G59*N(INDEX('Items'!$F$2:$F$13,MATCH($A59,'Items'!$P$2:$P$13,0))))</f>
        <v/>
      </c>
      <c r="I59" s="41">
        <f>IF($A59&gt;MAX('Items'!$P$2:$P$13),"",INDEX('Items'!$N$2:$N$13,MATCH($A59,'Items'!$P$2:$P$13,0)))</f>
        <v/>
      </c>
    </row>
    <row r="60">
      <c r="A60" s="3" t="n">
        <v>56</v>
      </c>
      <c r="B60" s="41">
        <f>IF($A60&gt;MAX('Items'!$P$2:$P$13),"",INDEX('Items'!$A$2:$A$13,MATCH($A60,'Items'!$P$2:$P$13,0)))</f>
        <v/>
      </c>
      <c r="C60" s="41">
        <f>IF($A60&gt;MAX('Items'!$P$2:$P$13),"",INDEX('Items'!$B$2:$B$13,MATCH($A60,'Items'!$P$2:$P$13,0)))</f>
        <v/>
      </c>
      <c r="D60" s="41">
        <f>IF($A60&gt;MAX('Items'!$P$2:$P$13),"",INDEX('Items'!$E$2:$E$13,MATCH($A60,'Items'!$P$2:$P$13,0)))</f>
        <v/>
      </c>
      <c r="E60" s="46">
        <f>IF($A60&gt;MAX('Items'!$P$2:$P$13),"",INDEX('Items'!$K$2:$K$13,MATCH($A60,'Items'!$P$2:$P$13,0)))</f>
        <v/>
      </c>
      <c r="F60" s="46">
        <f>IF($A60&gt;MAX('Items'!$P$2:$P$13),"",INDEX('Items'!$L$2:$L$13,MATCH($A60,'Items'!$P$2:$P$13,0)))</f>
        <v/>
      </c>
      <c r="G60" s="46">
        <f>IF(B60="","",MAX(N(INDEX('Items'!$M$2:$M$13,MATCH($A60,'Items'!$P$2:$P$13,0))),N(F60)-E60))</f>
        <v/>
      </c>
      <c r="H60" s="34">
        <f>IF(B60="","",G60*N(INDEX('Items'!$F$2:$F$13,MATCH($A60,'Items'!$P$2:$P$13,0))))</f>
        <v/>
      </c>
      <c r="I60" s="41">
        <f>IF($A60&gt;MAX('Items'!$P$2:$P$13),"",INDEX('Items'!$N$2:$N$13,MATCH($A60,'Items'!$P$2:$P$13,0)))</f>
        <v/>
      </c>
    </row>
    <row r="61">
      <c r="A61" s="3" t="n">
        <v>57</v>
      </c>
      <c r="B61" s="41">
        <f>IF($A61&gt;MAX('Items'!$P$2:$P$13),"",INDEX('Items'!$A$2:$A$13,MATCH($A61,'Items'!$P$2:$P$13,0)))</f>
        <v/>
      </c>
      <c r="C61" s="41">
        <f>IF($A61&gt;MAX('Items'!$P$2:$P$13),"",INDEX('Items'!$B$2:$B$13,MATCH($A61,'Items'!$P$2:$P$13,0)))</f>
        <v/>
      </c>
      <c r="D61" s="41">
        <f>IF($A61&gt;MAX('Items'!$P$2:$P$13),"",INDEX('Items'!$E$2:$E$13,MATCH($A61,'Items'!$P$2:$P$13,0)))</f>
        <v/>
      </c>
      <c r="E61" s="46">
        <f>IF($A61&gt;MAX('Items'!$P$2:$P$13),"",INDEX('Items'!$K$2:$K$13,MATCH($A61,'Items'!$P$2:$P$13,0)))</f>
        <v/>
      </c>
      <c r="F61" s="46">
        <f>IF($A61&gt;MAX('Items'!$P$2:$P$13),"",INDEX('Items'!$L$2:$L$13,MATCH($A61,'Items'!$P$2:$P$13,0)))</f>
        <v/>
      </c>
      <c r="G61" s="46">
        <f>IF(B61="","",MAX(N(INDEX('Items'!$M$2:$M$13,MATCH($A61,'Items'!$P$2:$P$13,0))),N(F61)-E61))</f>
        <v/>
      </c>
      <c r="H61" s="34">
        <f>IF(B61="","",G61*N(INDEX('Items'!$F$2:$F$13,MATCH($A61,'Items'!$P$2:$P$13,0))))</f>
        <v/>
      </c>
      <c r="I61" s="41">
        <f>IF($A61&gt;MAX('Items'!$P$2:$P$13),"",INDEX('Items'!$N$2:$N$13,MATCH($A61,'Items'!$P$2:$P$13,0)))</f>
        <v/>
      </c>
    </row>
    <row r="62">
      <c r="A62" s="3" t="n">
        <v>58</v>
      </c>
      <c r="B62" s="41">
        <f>IF($A62&gt;MAX('Items'!$P$2:$P$13),"",INDEX('Items'!$A$2:$A$13,MATCH($A62,'Items'!$P$2:$P$13,0)))</f>
        <v/>
      </c>
      <c r="C62" s="41">
        <f>IF($A62&gt;MAX('Items'!$P$2:$P$13),"",INDEX('Items'!$B$2:$B$13,MATCH($A62,'Items'!$P$2:$P$13,0)))</f>
        <v/>
      </c>
      <c r="D62" s="41">
        <f>IF($A62&gt;MAX('Items'!$P$2:$P$13),"",INDEX('Items'!$E$2:$E$13,MATCH($A62,'Items'!$P$2:$P$13,0)))</f>
        <v/>
      </c>
      <c r="E62" s="46">
        <f>IF($A62&gt;MAX('Items'!$P$2:$P$13),"",INDEX('Items'!$K$2:$K$13,MATCH($A62,'Items'!$P$2:$P$13,0)))</f>
        <v/>
      </c>
      <c r="F62" s="46">
        <f>IF($A62&gt;MAX('Items'!$P$2:$P$13),"",INDEX('Items'!$L$2:$L$13,MATCH($A62,'Items'!$P$2:$P$13,0)))</f>
        <v/>
      </c>
      <c r="G62" s="46">
        <f>IF(B62="","",MAX(N(INDEX('Items'!$M$2:$M$13,MATCH($A62,'Items'!$P$2:$P$13,0))),N(F62)-E62))</f>
        <v/>
      </c>
      <c r="H62" s="34">
        <f>IF(B62="","",G62*N(INDEX('Items'!$F$2:$F$13,MATCH($A62,'Items'!$P$2:$P$13,0))))</f>
        <v/>
      </c>
      <c r="I62" s="41">
        <f>IF($A62&gt;MAX('Items'!$P$2:$P$13),"",INDEX('Items'!$N$2:$N$13,MATCH($A62,'Items'!$P$2:$P$13,0)))</f>
        <v/>
      </c>
    </row>
    <row r="63">
      <c r="A63" s="3" t="n">
        <v>59</v>
      </c>
      <c r="B63" s="41">
        <f>IF($A63&gt;MAX('Items'!$P$2:$P$13),"",INDEX('Items'!$A$2:$A$13,MATCH($A63,'Items'!$P$2:$P$13,0)))</f>
        <v/>
      </c>
      <c r="C63" s="41">
        <f>IF($A63&gt;MAX('Items'!$P$2:$P$13),"",INDEX('Items'!$B$2:$B$13,MATCH($A63,'Items'!$P$2:$P$13,0)))</f>
        <v/>
      </c>
      <c r="D63" s="41">
        <f>IF($A63&gt;MAX('Items'!$P$2:$P$13),"",INDEX('Items'!$E$2:$E$13,MATCH($A63,'Items'!$P$2:$P$13,0)))</f>
        <v/>
      </c>
      <c r="E63" s="46">
        <f>IF($A63&gt;MAX('Items'!$P$2:$P$13),"",INDEX('Items'!$K$2:$K$13,MATCH($A63,'Items'!$P$2:$P$13,0)))</f>
        <v/>
      </c>
      <c r="F63" s="46">
        <f>IF($A63&gt;MAX('Items'!$P$2:$P$13),"",INDEX('Items'!$L$2:$L$13,MATCH($A63,'Items'!$P$2:$P$13,0)))</f>
        <v/>
      </c>
      <c r="G63" s="46">
        <f>IF(B63="","",MAX(N(INDEX('Items'!$M$2:$M$13,MATCH($A63,'Items'!$P$2:$P$13,0))),N(F63)-E63))</f>
        <v/>
      </c>
      <c r="H63" s="34">
        <f>IF(B63="","",G63*N(INDEX('Items'!$F$2:$F$13,MATCH($A63,'Items'!$P$2:$P$13,0))))</f>
        <v/>
      </c>
      <c r="I63" s="41">
        <f>IF($A63&gt;MAX('Items'!$P$2:$P$13),"",INDEX('Items'!$N$2:$N$13,MATCH($A63,'Items'!$P$2:$P$13,0)))</f>
        <v/>
      </c>
    </row>
    <row r="64">
      <c r="A64" s="3" t="n">
        <v>60</v>
      </c>
      <c r="B64" s="41">
        <f>IF($A64&gt;MAX('Items'!$P$2:$P$13),"",INDEX('Items'!$A$2:$A$13,MATCH($A64,'Items'!$P$2:$P$13,0)))</f>
        <v/>
      </c>
      <c r="C64" s="41">
        <f>IF($A64&gt;MAX('Items'!$P$2:$P$13),"",INDEX('Items'!$B$2:$B$13,MATCH($A64,'Items'!$P$2:$P$13,0)))</f>
        <v/>
      </c>
      <c r="D64" s="41">
        <f>IF($A64&gt;MAX('Items'!$P$2:$P$13),"",INDEX('Items'!$E$2:$E$13,MATCH($A64,'Items'!$P$2:$P$13,0)))</f>
        <v/>
      </c>
      <c r="E64" s="46">
        <f>IF($A64&gt;MAX('Items'!$P$2:$P$13),"",INDEX('Items'!$K$2:$K$13,MATCH($A64,'Items'!$P$2:$P$13,0)))</f>
        <v/>
      </c>
      <c r="F64" s="46">
        <f>IF($A64&gt;MAX('Items'!$P$2:$P$13),"",INDEX('Items'!$L$2:$L$13,MATCH($A64,'Items'!$P$2:$P$13,0)))</f>
        <v/>
      </c>
      <c r="G64" s="46">
        <f>IF(B64="","",MAX(N(INDEX('Items'!$M$2:$M$13,MATCH($A64,'Items'!$P$2:$P$13,0))),N(F64)-E64))</f>
        <v/>
      </c>
      <c r="H64" s="34">
        <f>IF(B64="","",G64*N(INDEX('Items'!$F$2:$F$13,MATCH($A64,'Items'!$P$2:$P$13,0))))</f>
        <v/>
      </c>
      <c r="I64" s="41">
        <f>IF($A64&gt;MAX('Items'!$P$2:$P$13),"",INDEX('Items'!$N$2:$N$13,MATCH($A64,'Items'!$P$2:$P$13,0)))</f>
        <v/>
      </c>
    </row>
    <row r="65">
      <c r="A65" s="3" t="n">
        <v>61</v>
      </c>
      <c r="B65" s="41">
        <f>IF($A65&gt;MAX('Items'!$P$2:$P$13),"",INDEX('Items'!$A$2:$A$13,MATCH($A65,'Items'!$P$2:$P$13,0)))</f>
        <v/>
      </c>
      <c r="C65" s="41">
        <f>IF($A65&gt;MAX('Items'!$P$2:$P$13),"",INDEX('Items'!$B$2:$B$13,MATCH($A65,'Items'!$P$2:$P$13,0)))</f>
        <v/>
      </c>
      <c r="D65" s="41">
        <f>IF($A65&gt;MAX('Items'!$P$2:$P$13),"",INDEX('Items'!$E$2:$E$13,MATCH($A65,'Items'!$P$2:$P$13,0)))</f>
        <v/>
      </c>
      <c r="E65" s="46">
        <f>IF($A65&gt;MAX('Items'!$P$2:$P$13),"",INDEX('Items'!$K$2:$K$13,MATCH($A65,'Items'!$P$2:$P$13,0)))</f>
        <v/>
      </c>
      <c r="F65" s="46">
        <f>IF($A65&gt;MAX('Items'!$P$2:$P$13),"",INDEX('Items'!$L$2:$L$13,MATCH($A65,'Items'!$P$2:$P$13,0)))</f>
        <v/>
      </c>
      <c r="G65" s="46">
        <f>IF(B65="","",MAX(N(INDEX('Items'!$M$2:$M$13,MATCH($A65,'Items'!$P$2:$P$13,0))),N(F65)-E65))</f>
        <v/>
      </c>
      <c r="H65" s="34">
        <f>IF(B65="","",G65*N(INDEX('Items'!$F$2:$F$13,MATCH($A65,'Items'!$P$2:$P$13,0))))</f>
        <v/>
      </c>
      <c r="I65" s="41">
        <f>IF($A65&gt;MAX('Items'!$P$2:$P$13),"",INDEX('Items'!$N$2:$N$13,MATCH($A65,'Items'!$P$2:$P$13,0)))</f>
        <v/>
      </c>
    </row>
    <row r="66">
      <c r="A66" s="3" t="n">
        <v>62</v>
      </c>
      <c r="B66" s="41">
        <f>IF($A66&gt;MAX('Items'!$P$2:$P$13),"",INDEX('Items'!$A$2:$A$13,MATCH($A66,'Items'!$P$2:$P$13,0)))</f>
        <v/>
      </c>
      <c r="C66" s="41">
        <f>IF($A66&gt;MAX('Items'!$P$2:$P$13),"",INDEX('Items'!$B$2:$B$13,MATCH($A66,'Items'!$P$2:$P$13,0)))</f>
        <v/>
      </c>
      <c r="D66" s="41">
        <f>IF($A66&gt;MAX('Items'!$P$2:$P$13),"",INDEX('Items'!$E$2:$E$13,MATCH($A66,'Items'!$P$2:$P$13,0)))</f>
        <v/>
      </c>
      <c r="E66" s="46">
        <f>IF($A66&gt;MAX('Items'!$P$2:$P$13),"",INDEX('Items'!$K$2:$K$13,MATCH($A66,'Items'!$P$2:$P$13,0)))</f>
        <v/>
      </c>
      <c r="F66" s="46">
        <f>IF($A66&gt;MAX('Items'!$P$2:$P$13),"",INDEX('Items'!$L$2:$L$13,MATCH($A66,'Items'!$P$2:$P$13,0)))</f>
        <v/>
      </c>
      <c r="G66" s="46">
        <f>IF(B66="","",MAX(N(INDEX('Items'!$M$2:$M$13,MATCH($A66,'Items'!$P$2:$P$13,0))),N(F66)-E66))</f>
        <v/>
      </c>
      <c r="H66" s="34">
        <f>IF(B66="","",G66*N(INDEX('Items'!$F$2:$F$13,MATCH($A66,'Items'!$P$2:$P$13,0))))</f>
        <v/>
      </c>
      <c r="I66" s="41">
        <f>IF($A66&gt;MAX('Items'!$P$2:$P$13),"",INDEX('Items'!$N$2:$N$13,MATCH($A66,'Items'!$P$2:$P$13,0)))</f>
        <v/>
      </c>
    </row>
    <row r="67">
      <c r="A67" s="3" t="n">
        <v>63</v>
      </c>
      <c r="B67" s="41">
        <f>IF($A67&gt;MAX('Items'!$P$2:$P$13),"",INDEX('Items'!$A$2:$A$13,MATCH($A67,'Items'!$P$2:$P$13,0)))</f>
        <v/>
      </c>
      <c r="C67" s="41">
        <f>IF($A67&gt;MAX('Items'!$P$2:$P$13),"",INDEX('Items'!$B$2:$B$13,MATCH($A67,'Items'!$P$2:$P$13,0)))</f>
        <v/>
      </c>
      <c r="D67" s="41">
        <f>IF($A67&gt;MAX('Items'!$P$2:$P$13),"",INDEX('Items'!$E$2:$E$13,MATCH($A67,'Items'!$P$2:$P$13,0)))</f>
        <v/>
      </c>
      <c r="E67" s="46">
        <f>IF($A67&gt;MAX('Items'!$P$2:$P$13),"",INDEX('Items'!$K$2:$K$13,MATCH($A67,'Items'!$P$2:$P$13,0)))</f>
        <v/>
      </c>
      <c r="F67" s="46">
        <f>IF($A67&gt;MAX('Items'!$P$2:$P$13),"",INDEX('Items'!$L$2:$L$13,MATCH($A67,'Items'!$P$2:$P$13,0)))</f>
        <v/>
      </c>
      <c r="G67" s="46">
        <f>IF(B67="","",MAX(N(INDEX('Items'!$M$2:$M$13,MATCH($A67,'Items'!$P$2:$P$13,0))),N(F67)-E67))</f>
        <v/>
      </c>
      <c r="H67" s="34">
        <f>IF(B67="","",G67*N(INDEX('Items'!$F$2:$F$13,MATCH($A67,'Items'!$P$2:$P$13,0))))</f>
        <v/>
      </c>
      <c r="I67" s="41">
        <f>IF($A67&gt;MAX('Items'!$P$2:$P$13),"",INDEX('Items'!$N$2:$N$13,MATCH($A67,'Items'!$P$2:$P$13,0)))</f>
        <v/>
      </c>
    </row>
    <row r="68">
      <c r="A68" s="3" t="n">
        <v>64</v>
      </c>
      <c r="B68" s="41">
        <f>IF($A68&gt;MAX('Items'!$P$2:$P$13),"",INDEX('Items'!$A$2:$A$13,MATCH($A68,'Items'!$P$2:$P$13,0)))</f>
        <v/>
      </c>
      <c r="C68" s="41">
        <f>IF($A68&gt;MAX('Items'!$P$2:$P$13),"",INDEX('Items'!$B$2:$B$13,MATCH($A68,'Items'!$P$2:$P$13,0)))</f>
        <v/>
      </c>
      <c r="D68" s="41">
        <f>IF($A68&gt;MAX('Items'!$P$2:$P$13),"",INDEX('Items'!$E$2:$E$13,MATCH($A68,'Items'!$P$2:$P$13,0)))</f>
        <v/>
      </c>
      <c r="E68" s="46">
        <f>IF($A68&gt;MAX('Items'!$P$2:$P$13),"",INDEX('Items'!$K$2:$K$13,MATCH($A68,'Items'!$P$2:$P$13,0)))</f>
        <v/>
      </c>
      <c r="F68" s="46">
        <f>IF($A68&gt;MAX('Items'!$P$2:$P$13),"",INDEX('Items'!$L$2:$L$13,MATCH($A68,'Items'!$P$2:$P$13,0)))</f>
        <v/>
      </c>
      <c r="G68" s="46">
        <f>IF(B68="","",MAX(N(INDEX('Items'!$M$2:$M$13,MATCH($A68,'Items'!$P$2:$P$13,0))),N(F68)-E68))</f>
        <v/>
      </c>
      <c r="H68" s="34">
        <f>IF(B68="","",G68*N(INDEX('Items'!$F$2:$F$13,MATCH($A68,'Items'!$P$2:$P$13,0))))</f>
        <v/>
      </c>
      <c r="I68" s="41">
        <f>IF($A68&gt;MAX('Items'!$P$2:$P$13),"",INDEX('Items'!$N$2:$N$13,MATCH($A68,'Items'!$P$2:$P$13,0)))</f>
        <v/>
      </c>
    </row>
    <row r="69">
      <c r="A69" s="3" t="n">
        <v>65</v>
      </c>
      <c r="B69" s="41">
        <f>IF($A69&gt;MAX('Items'!$P$2:$P$13),"",INDEX('Items'!$A$2:$A$13,MATCH($A69,'Items'!$P$2:$P$13,0)))</f>
        <v/>
      </c>
      <c r="C69" s="41">
        <f>IF($A69&gt;MAX('Items'!$P$2:$P$13),"",INDEX('Items'!$B$2:$B$13,MATCH($A69,'Items'!$P$2:$P$13,0)))</f>
        <v/>
      </c>
      <c r="D69" s="41">
        <f>IF($A69&gt;MAX('Items'!$P$2:$P$13),"",INDEX('Items'!$E$2:$E$13,MATCH($A69,'Items'!$P$2:$P$13,0)))</f>
        <v/>
      </c>
      <c r="E69" s="46">
        <f>IF($A69&gt;MAX('Items'!$P$2:$P$13),"",INDEX('Items'!$K$2:$K$13,MATCH($A69,'Items'!$P$2:$P$13,0)))</f>
        <v/>
      </c>
      <c r="F69" s="46">
        <f>IF($A69&gt;MAX('Items'!$P$2:$P$13),"",INDEX('Items'!$L$2:$L$13,MATCH($A69,'Items'!$P$2:$P$13,0)))</f>
        <v/>
      </c>
      <c r="G69" s="46">
        <f>IF(B69="","",MAX(N(INDEX('Items'!$M$2:$M$13,MATCH($A69,'Items'!$P$2:$P$13,0))),N(F69)-E69))</f>
        <v/>
      </c>
      <c r="H69" s="34">
        <f>IF(B69="","",G69*N(INDEX('Items'!$F$2:$F$13,MATCH($A69,'Items'!$P$2:$P$13,0))))</f>
        <v/>
      </c>
      <c r="I69" s="41">
        <f>IF($A69&gt;MAX('Items'!$P$2:$P$13),"",INDEX('Items'!$N$2:$N$13,MATCH($A69,'Items'!$P$2:$P$13,0)))</f>
        <v/>
      </c>
    </row>
    <row r="70">
      <c r="A70" s="3" t="n">
        <v>66</v>
      </c>
      <c r="B70" s="41">
        <f>IF($A70&gt;MAX('Items'!$P$2:$P$13),"",INDEX('Items'!$A$2:$A$13,MATCH($A70,'Items'!$P$2:$P$13,0)))</f>
        <v/>
      </c>
      <c r="C70" s="41">
        <f>IF($A70&gt;MAX('Items'!$P$2:$P$13),"",INDEX('Items'!$B$2:$B$13,MATCH($A70,'Items'!$P$2:$P$13,0)))</f>
        <v/>
      </c>
      <c r="D70" s="41">
        <f>IF($A70&gt;MAX('Items'!$P$2:$P$13),"",INDEX('Items'!$E$2:$E$13,MATCH($A70,'Items'!$P$2:$P$13,0)))</f>
        <v/>
      </c>
      <c r="E70" s="46">
        <f>IF($A70&gt;MAX('Items'!$P$2:$P$13),"",INDEX('Items'!$K$2:$K$13,MATCH($A70,'Items'!$P$2:$P$13,0)))</f>
        <v/>
      </c>
      <c r="F70" s="46">
        <f>IF($A70&gt;MAX('Items'!$P$2:$P$13),"",INDEX('Items'!$L$2:$L$13,MATCH($A70,'Items'!$P$2:$P$13,0)))</f>
        <v/>
      </c>
      <c r="G70" s="46">
        <f>IF(B70="","",MAX(N(INDEX('Items'!$M$2:$M$13,MATCH($A70,'Items'!$P$2:$P$13,0))),N(F70)-E70))</f>
        <v/>
      </c>
      <c r="H70" s="34">
        <f>IF(B70="","",G70*N(INDEX('Items'!$F$2:$F$13,MATCH($A70,'Items'!$P$2:$P$13,0))))</f>
        <v/>
      </c>
      <c r="I70" s="41">
        <f>IF($A70&gt;MAX('Items'!$P$2:$P$13),"",INDEX('Items'!$N$2:$N$13,MATCH($A70,'Items'!$P$2:$P$13,0)))</f>
        <v/>
      </c>
    </row>
    <row r="71">
      <c r="A71" s="3" t="n">
        <v>67</v>
      </c>
      <c r="B71" s="41">
        <f>IF($A71&gt;MAX('Items'!$P$2:$P$13),"",INDEX('Items'!$A$2:$A$13,MATCH($A71,'Items'!$P$2:$P$13,0)))</f>
        <v/>
      </c>
      <c r="C71" s="41">
        <f>IF($A71&gt;MAX('Items'!$P$2:$P$13),"",INDEX('Items'!$B$2:$B$13,MATCH($A71,'Items'!$P$2:$P$13,0)))</f>
        <v/>
      </c>
      <c r="D71" s="41">
        <f>IF($A71&gt;MAX('Items'!$P$2:$P$13),"",INDEX('Items'!$E$2:$E$13,MATCH($A71,'Items'!$P$2:$P$13,0)))</f>
        <v/>
      </c>
      <c r="E71" s="46">
        <f>IF($A71&gt;MAX('Items'!$P$2:$P$13),"",INDEX('Items'!$K$2:$K$13,MATCH($A71,'Items'!$P$2:$P$13,0)))</f>
        <v/>
      </c>
      <c r="F71" s="46">
        <f>IF($A71&gt;MAX('Items'!$P$2:$P$13),"",INDEX('Items'!$L$2:$L$13,MATCH($A71,'Items'!$P$2:$P$13,0)))</f>
        <v/>
      </c>
      <c r="G71" s="46">
        <f>IF(B71="","",MAX(N(INDEX('Items'!$M$2:$M$13,MATCH($A71,'Items'!$P$2:$P$13,0))),N(F71)-E71))</f>
        <v/>
      </c>
      <c r="H71" s="34">
        <f>IF(B71="","",G71*N(INDEX('Items'!$F$2:$F$13,MATCH($A71,'Items'!$P$2:$P$13,0))))</f>
        <v/>
      </c>
      <c r="I71" s="41">
        <f>IF($A71&gt;MAX('Items'!$P$2:$P$13),"",INDEX('Items'!$N$2:$N$13,MATCH($A71,'Items'!$P$2:$P$13,0)))</f>
        <v/>
      </c>
    </row>
    <row r="72">
      <c r="A72" s="3" t="n">
        <v>68</v>
      </c>
      <c r="B72" s="41">
        <f>IF($A72&gt;MAX('Items'!$P$2:$P$13),"",INDEX('Items'!$A$2:$A$13,MATCH($A72,'Items'!$P$2:$P$13,0)))</f>
        <v/>
      </c>
      <c r="C72" s="41">
        <f>IF($A72&gt;MAX('Items'!$P$2:$P$13),"",INDEX('Items'!$B$2:$B$13,MATCH($A72,'Items'!$P$2:$P$13,0)))</f>
        <v/>
      </c>
      <c r="D72" s="41">
        <f>IF($A72&gt;MAX('Items'!$P$2:$P$13),"",INDEX('Items'!$E$2:$E$13,MATCH($A72,'Items'!$P$2:$P$13,0)))</f>
        <v/>
      </c>
      <c r="E72" s="46">
        <f>IF($A72&gt;MAX('Items'!$P$2:$P$13),"",INDEX('Items'!$K$2:$K$13,MATCH($A72,'Items'!$P$2:$P$13,0)))</f>
        <v/>
      </c>
      <c r="F72" s="46">
        <f>IF($A72&gt;MAX('Items'!$P$2:$P$13),"",INDEX('Items'!$L$2:$L$13,MATCH($A72,'Items'!$P$2:$P$13,0)))</f>
        <v/>
      </c>
      <c r="G72" s="46">
        <f>IF(B72="","",MAX(N(INDEX('Items'!$M$2:$M$13,MATCH($A72,'Items'!$P$2:$P$13,0))),N(F72)-E72))</f>
        <v/>
      </c>
      <c r="H72" s="34">
        <f>IF(B72="","",G72*N(INDEX('Items'!$F$2:$F$13,MATCH($A72,'Items'!$P$2:$P$13,0))))</f>
        <v/>
      </c>
      <c r="I72" s="41">
        <f>IF($A72&gt;MAX('Items'!$P$2:$P$13),"",INDEX('Items'!$N$2:$N$13,MATCH($A72,'Items'!$P$2:$P$13,0)))</f>
        <v/>
      </c>
    </row>
    <row r="73">
      <c r="A73" s="3" t="n">
        <v>69</v>
      </c>
      <c r="B73" s="41">
        <f>IF($A73&gt;MAX('Items'!$P$2:$P$13),"",INDEX('Items'!$A$2:$A$13,MATCH($A73,'Items'!$P$2:$P$13,0)))</f>
        <v/>
      </c>
      <c r="C73" s="41">
        <f>IF($A73&gt;MAX('Items'!$P$2:$P$13),"",INDEX('Items'!$B$2:$B$13,MATCH($A73,'Items'!$P$2:$P$13,0)))</f>
        <v/>
      </c>
      <c r="D73" s="41">
        <f>IF($A73&gt;MAX('Items'!$P$2:$P$13),"",INDEX('Items'!$E$2:$E$13,MATCH($A73,'Items'!$P$2:$P$13,0)))</f>
        <v/>
      </c>
      <c r="E73" s="46">
        <f>IF($A73&gt;MAX('Items'!$P$2:$P$13),"",INDEX('Items'!$K$2:$K$13,MATCH($A73,'Items'!$P$2:$P$13,0)))</f>
        <v/>
      </c>
      <c r="F73" s="46">
        <f>IF($A73&gt;MAX('Items'!$P$2:$P$13),"",INDEX('Items'!$L$2:$L$13,MATCH($A73,'Items'!$P$2:$P$13,0)))</f>
        <v/>
      </c>
      <c r="G73" s="46">
        <f>IF(B73="","",MAX(N(INDEX('Items'!$M$2:$M$13,MATCH($A73,'Items'!$P$2:$P$13,0))),N(F73)-E73))</f>
        <v/>
      </c>
      <c r="H73" s="34">
        <f>IF(B73="","",G73*N(INDEX('Items'!$F$2:$F$13,MATCH($A73,'Items'!$P$2:$P$13,0))))</f>
        <v/>
      </c>
      <c r="I73" s="41">
        <f>IF($A73&gt;MAX('Items'!$P$2:$P$13),"",INDEX('Items'!$N$2:$N$13,MATCH($A73,'Items'!$P$2:$P$13,0)))</f>
        <v/>
      </c>
    </row>
    <row r="74">
      <c r="A74" s="3" t="n">
        <v>70</v>
      </c>
      <c r="B74" s="41">
        <f>IF($A74&gt;MAX('Items'!$P$2:$P$13),"",INDEX('Items'!$A$2:$A$13,MATCH($A74,'Items'!$P$2:$P$13,0)))</f>
        <v/>
      </c>
      <c r="C74" s="41">
        <f>IF($A74&gt;MAX('Items'!$P$2:$P$13),"",INDEX('Items'!$B$2:$B$13,MATCH($A74,'Items'!$P$2:$P$13,0)))</f>
        <v/>
      </c>
      <c r="D74" s="41">
        <f>IF($A74&gt;MAX('Items'!$P$2:$P$13),"",INDEX('Items'!$E$2:$E$13,MATCH($A74,'Items'!$P$2:$P$13,0)))</f>
        <v/>
      </c>
      <c r="E74" s="46">
        <f>IF($A74&gt;MAX('Items'!$P$2:$P$13),"",INDEX('Items'!$K$2:$K$13,MATCH($A74,'Items'!$P$2:$P$13,0)))</f>
        <v/>
      </c>
      <c r="F74" s="46">
        <f>IF($A74&gt;MAX('Items'!$P$2:$P$13),"",INDEX('Items'!$L$2:$L$13,MATCH($A74,'Items'!$P$2:$P$13,0)))</f>
        <v/>
      </c>
      <c r="G74" s="46">
        <f>IF(B74="","",MAX(N(INDEX('Items'!$M$2:$M$13,MATCH($A74,'Items'!$P$2:$P$13,0))),N(F74)-E74))</f>
        <v/>
      </c>
      <c r="H74" s="34">
        <f>IF(B74="","",G74*N(INDEX('Items'!$F$2:$F$13,MATCH($A74,'Items'!$P$2:$P$13,0))))</f>
        <v/>
      </c>
      <c r="I74" s="41">
        <f>IF($A74&gt;MAX('Items'!$P$2:$P$13),"",INDEX('Items'!$N$2:$N$13,MATCH($A74,'Items'!$P$2:$P$13,0)))</f>
        <v/>
      </c>
    </row>
    <row r="75">
      <c r="A75" s="3" t="n">
        <v>71</v>
      </c>
      <c r="B75" s="41">
        <f>IF($A75&gt;MAX('Items'!$P$2:$P$13),"",INDEX('Items'!$A$2:$A$13,MATCH($A75,'Items'!$P$2:$P$13,0)))</f>
        <v/>
      </c>
      <c r="C75" s="41">
        <f>IF($A75&gt;MAX('Items'!$P$2:$P$13),"",INDEX('Items'!$B$2:$B$13,MATCH($A75,'Items'!$P$2:$P$13,0)))</f>
        <v/>
      </c>
      <c r="D75" s="41">
        <f>IF($A75&gt;MAX('Items'!$P$2:$P$13),"",INDEX('Items'!$E$2:$E$13,MATCH($A75,'Items'!$P$2:$P$13,0)))</f>
        <v/>
      </c>
      <c r="E75" s="46">
        <f>IF($A75&gt;MAX('Items'!$P$2:$P$13),"",INDEX('Items'!$K$2:$K$13,MATCH($A75,'Items'!$P$2:$P$13,0)))</f>
        <v/>
      </c>
      <c r="F75" s="46">
        <f>IF($A75&gt;MAX('Items'!$P$2:$P$13),"",INDEX('Items'!$L$2:$L$13,MATCH($A75,'Items'!$P$2:$P$13,0)))</f>
        <v/>
      </c>
      <c r="G75" s="46">
        <f>IF(B75="","",MAX(N(INDEX('Items'!$M$2:$M$13,MATCH($A75,'Items'!$P$2:$P$13,0))),N(F75)-E75))</f>
        <v/>
      </c>
      <c r="H75" s="34">
        <f>IF(B75="","",G75*N(INDEX('Items'!$F$2:$F$13,MATCH($A75,'Items'!$P$2:$P$13,0))))</f>
        <v/>
      </c>
      <c r="I75" s="41">
        <f>IF($A75&gt;MAX('Items'!$P$2:$P$13),"",INDEX('Items'!$N$2:$N$13,MATCH($A75,'Items'!$P$2:$P$13,0)))</f>
        <v/>
      </c>
    </row>
    <row r="76">
      <c r="A76" s="3" t="n">
        <v>72</v>
      </c>
      <c r="B76" s="41">
        <f>IF($A76&gt;MAX('Items'!$P$2:$P$13),"",INDEX('Items'!$A$2:$A$13,MATCH($A76,'Items'!$P$2:$P$13,0)))</f>
        <v/>
      </c>
      <c r="C76" s="41">
        <f>IF($A76&gt;MAX('Items'!$P$2:$P$13),"",INDEX('Items'!$B$2:$B$13,MATCH($A76,'Items'!$P$2:$P$13,0)))</f>
        <v/>
      </c>
      <c r="D76" s="41">
        <f>IF($A76&gt;MAX('Items'!$P$2:$P$13),"",INDEX('Items'!$E$2:$E$13,MATCH($A76,'Items'!$P$2:$P$13,0)))</f>
        <v/>
      </c>
      <c r="E76" s="46">
        <f>IF($A76&gt;MAX('Items'!$P$2:$P$13),"",INDEX('Items'!$K$2:$K$13,MATCH($A76,'Items'!$P$2:$P$13,0)))</f>
        <v/>
      </c>
      <c r="F76" s="46">
        <f>IF($A76&gt;MAX('Items'!$P$2:$P$13),"",INDEX('Items'!$L$2:$L$13,MATCH($A76,'Items'!$P$2:$P$13,0)))</f>
        <v/>
      </c>
      <c r="G76" s="46">
        <f>IF(B76="","",MAX(N(INDEX('Items'!$M$2:$M$13,MATCH($A76,'Items'!$P$2:$P$13,0))),N(F76)-E76))</f>
        <v/>
      </c>
      <c r="H76" s="34">
        <f>IF(B76="","",G76*N(INDEX('Items'!$F$2:$F$13,MATCH($A76,'Items'!$P$2:$P$13,0))))</f>
        <v/>
      </c>
      <c r="I76" s="41">
        <f>IF($A76&gt;MAX('Items'!$P$2:$P$13),"",INDEX('Items'!$N$2:$N$13,MATCH($A76,'Items'!$P$2:$P$13,0)))</f>
        <v/>
      </c>
    </row>
    <row r="77">
      <c r="A77" s="3" t="n">
        <v>73</v>
      </c>
      <c r="B77" s="41">
        <f>IF($A77&gt;MAX('Items'!$P$2:$P$13),"",INDEX('Items'!$A$2:$A$13,MATCH($A77,'Items'!$P$2:$P$13,0)))</f>
        <v/>
      </c>
      <c r="C77" s="41">
        <f>IF($A77&gt;MAX('Items'!$P$2:$P$13),"",INDEX('Items'!$B$2:$B$13,MATCH($A77,'Items'!$P$2:$P$13,0)))</f>
        <v/>
      </c>
      <c r="D77" s="41">
        <f>IF($A77&gt;MAX('Items'!$P$2:$P$13),"",INDEX('Items'!$E$2:$E$13,MATCH($A77,'Items'!$P$2:$P$13,0)))</f>
        <v/>
      </c>
      <c r="E77" s="46">
        <f>IF($A77&gt;MAX('Items'!$P$2:$P$13),"",INDEX('Items'!$K$2:$K$13,MATCH($A77,'Items'!$P$2:$P$13,0)))</f>
        <v/>
      </c>
      <c r="F77" s="46">
        <f>IF($A77&gt;MAX('Items'!$P$2:$P$13),"",INDEX('Items'!$L$2:$L$13,MATCH($A77,'Items'!$P$2:$P$13,0)))</f>
        <v/>
      </c>
      <c r="G77" s="46">
        <f>IF(B77="","",MAX(N(INDEX('Items'!$M$2:$M$13,MATCH($A77,'Items'!$P$2:$P$13,0))),N(F77)-E77))</f>
        <v/>
      </c>
      <c r="H77" s="34">
        <f>IF(B77="","",G77*N(INDEX('Items'!$F$2:$F$13,MATCH($A77,'Items'!$P$2:$P$13,0))))</f>
        <v/>
      </c>
      <c r="I77" s="41">
        <f>IF($A77&gt;MAX('Items'!$P$2:$P$13),"",INDEX('Items'!$N$2:$N$13,MATCH($A77,'Items'!$P$2:$P$13,0)))</f>
        <v/>
      </c>
    </row>
    <row r="78">
      <c r="A78" s="3" t="n">
        <v>74</v>
      </c>
      <c r="B78" s="41">
        <f>IF($A78&gt;MAX('Items'!$P$2:$P$13),"",INDEX('Items'!$A$2:$A$13,MATCH($A78,'Items'!$P$2:$P$13,0)))</f>
        <v/>
      </c>
      <c r="C78" s="41">
        <f>IF($A78&gt;MAX('Items'!$P$2:$P$13),"",INDEX('Items'!$B$2:$B$13,MATCH($A78,'Items'!$P$2:$P$13,0)))</f>
        <v/>
      </c>
      <c r="D78" s="41">
        <f>IF($A78&gt;MAX('Items'!$P$2:$P$13),"",INDEX('Items'!$E$2:$E$13,MATCH($A78,'Items'!$P$2:$P$13,0)))</f>
        <v/>
      </c>
      <c r="E78" s="46">
        <f>IF($A78&gt;MAX('Items'!$P$2:$P$13),"",INDEX('Items'!$K$2:$K$13,MATCH($A78,'Items'!$P$2:$P$13,0)))</f>
        <v/>
      </c>
      <c r="F78" s="46">
        <f>IF($A78&gt;MAX('Items'!$P$2:$P$13),"",INDEX('Items'!$L$2:$L$13,MATCH($A78,'Items'!$P$2:$P$13,0)))</f>
        <v/>
      </c>
      <c r="G78" s="46">
        <f>IF(B78="","",MAX(N(INDEX('Items'!$M$2:$M$13,MATCH($A78,'Items'!$P$2:$P$13,0))),N(F78)-E78))</f>
        <v/>
      </c>
      <c r="H78" s="34">
        <f>IF(B78="","",G78*N(INDEX('Items'!$F$2:$F$13,MATCH($A78,'Items'!$P$2:$P$13,0))))</f>
        <v/>
      </c>
      <c r="I78" s="41">
        <f>IF($A78&gt;MAX('Items'!$P$2:$P$13),"",INDEX('Items'!$N$2:$N$13,MATCH($A78,'Items'!$P$2:$P$13,0)))</f>
        <v/>
      </c>
    </row>
    <row r="79">
      <c r="A79" s="3" t="n">
        <v>75</v>
      </c>
      <c r="B79" s="41">
        <f>IF($A79&gt;MAX('Items'!$P$2:$P$13),"",INDEX('Items'!$A$2:$A$13,MATCH($A79,'Items'!$P$2:$P$13,0)))</f>
        <v/>
      </c>
      <c r="C79" s="41">
        <f>IF($A79&gt;MAX('Items'!$P$2:$P$13),"",INDEX('Items'!$B$2:$B$13,MATCH($A79,'Items'!$P$2:$P$13,0)))</f>
        <v/>
      </c>
      <c r="D79" s="41">
        <f>IF($A79&gt;MAX('Items'!$P$2:$P$13),"",INDEX('Items'!$E$2:$E$13,MATCH($A79,'Items'!$P$2:$P$13,0)))</f>
        <v/>
      </c>
      <c r="E79" s="46">
        <f>IF($A79&gt;MAX('Items'!$P$2:$P$13),"",INDEX('Items'!$K$2:$K$13,MATCH($A79,'Items'!$P$2:$P$13,0)))</f>
        <v/>
      </c>
      <c r="F79" s="46">
        <f>IF($A79&gt;MAX('Items'!$P$2:$P$13),"",INDEX('Items'!$L$2:$L$13,MATCH($A79,'Items'!$P$2:$P$13,0)))</f>
        <v/>
      </c>
      <c r="G79" s="46">
        <f>IF(B79="","",MAX(N(INDEX('Items'!$M$2:$M$13,MATCH($A79,'Items'!$P$2:$P$13,0))),N(F79)-E79))</f>
        <v/>
      </c>
      <c r="H79" s="34">
        <f>IF(B79="","",G79*N(INDEX('Items'!$F$2:$F$13,MATCH($A79,'Items'!$P$2:$P$13,0))))</f>
        <v/>
      </c>
      <c r="I79" s="41">
        <f>IF($A79&gt;MAX('Items'!$P$2:$P$13),"",INDEX('Items'!$N$2:$N$13,MATCH($A79,'Items'!$P$2:$P$13,0)))</f>
        <v/>
      </c>
    </row>
    <row r="80">
      <c r="A80" s="3" t="n">
        <v>76</v>
      </c>
      <c r="B80" s="41">
        <f>IF($A80&gt;MAX('Items'!$P$2:$P$13),"",INDEX('Items'!$A$2:$A$13,MATCH($A80,'Items'!$P$2:$P$13,0)))</f>
        <v/>
      </c>
      <c r="C80" s="41">
        <f>IF($A80&gt;MAX('Items'!$P$2:$P$13),"",INDEX('Items'!$B$2:$B$13,MATCH($A80,'Items'!$P$2:$P$13,0)))</f>
        <v/>
      </c>
      <c r="D80" s="41">
        <f>IF($A80&gt;MAX('Items'!$P$2:$P$13),"",INDEX('Items'!$E$2:$E$13,MATCH($A80,'Items'!$P$2:$P$13,0)))</f>
        <v/>
      </c>
      <c r="E80" s="46">
        <f>IF($A80&gt;MAX('Items'!$P$2:$P$13),"",INDEX('Items'!$K$2:$K$13,MATCH($A80,'Items'!$P$2:$P$13,0)))</f>
        <v/>
      </c>
      <c r="F80" s="46">
        <f>IF($A80&gt;MAX('Items'!$P$2:$P$13),"",INDEX('Items'!$L$2:$L$13,MATCH($A80,'Items'!$P$2:$P$13,0)))</f>
        <v/>
      </c>
      <c r="G80" s="46">
        <f>IF(B80="","",MAX(N(INDEX('Items'!$M$2:$M$13,MATCH($A80,'Items'!$P$2:$P$13,0))),N(F80)-E80))</f>
        <v/>
      </c>
      <c r="H80" s="34">
        <f>IF(B80="","",G80*N(INDEX('Items'!$F$2:$F$13,MATCH($A80,'Items'!$P$2:$P$13,0))))</f>
        <v/>
      </c>
      <c r="I80" s="41">
        <f>IF($A80&gt;MAX('Items'!$P$2:$P$13),"",INDEX('Items'!$N$2:$N$13,MATCH($A80,'Items'!$P$2:$P$13,0)))</f>
        <v/>
      </c>
    </row>
    <row r="81">
      <c r="A81" s="3" t="n">
        <v>77</v>
      </c>
      <c r="B81" s="41">
        <f>IF($A81&gt;MAX('Items'!$P$2:$P$13),"",INDEX('Items'!$A$2:$A$13,MATCH($A81,'Items'!$P$2:$P$13,0)))</f>
        <v/>
      </c>
      <c r="C81" s="41">
        <f>IF($A81&gt;MAX('Items'!$P$2:$P$13),"",INDEX('Items'!$B$2:$B$13,MATCH($A81,'Items'!$P$2:$P$13,0)))</f>
        <v/>
      </c>
      <c r="D81" s="41">
        <f>IF($A81&gt;MAX('Items'!$P$2:$P$13),"",INDEX('Items'!$E$2:$E$13,MATCH($A81,'Items'!$P$2:$P$13,0)))</f>
        <v/>
      </c>
      <c r="E81" s="46">
        <f>IF($A81&gt;MAX('Items'!$P$2:$P$13),"",INDEX('Items'!$K$2:$K$13,MATCH($A81,'Items'!$P$2:$P$13,0)))</f>
        <v/>
      </c>
      <c r="F81" s="46">
        <f>IF($A81&gt;MAX('Items'!$P$2:$P$13),"",INDEX('Items'!$L$2:$L$13,MATCH($A81,'Items'!$P$2:$P$13,0)))</f>
        <v/>
      </c>
      <c r="G81" s="46">
        <f>IF(B81="","",MAX(N(INDEX('Items'!$M$2:$M$13,MATCH($A81,'Items'!$P$2:$P$13,0))),N(F81)-E81))</f>
        <v/>
      </c>
      <c r="H81" s="34">
        <f>IF(B81="","",G81*N(INDEX('Items'!$F$2:$F$13,MATCH($A81,'Items'!$P$2:$P$13,0))))</f>
        <v/>
      </c>
      <c r="I81" s="41">
        <f>IF($A81&gt;MAX('Items'!$P$2:$P$13),"",INDEX('Items'!$N$2:$N$13,MATCH($A81,'Items'!$P$2:$P$13,0)))</f>
        <v/>
      </c>
    </row>
    <row r="82">
      <c r="A82" s="3" t="n">
        <v>78</v>
      </c>
      <c r="B82" s="41">
        <f>IF($A82&gt;MAX('Items'!$P$2:$P$13),"",INDEX('Items'!$A$2:$A$13,MATCH($A82,'Items'!$P$2:$P$13,0)))</f>
        <v/>
      </c>
      <c r="C82" s="41">
        <f>IF($A82&gt;MAX('Items'!$P$2:$P$13),"",INDEX('Items'!$B$2:$B$13,MATCH($A82,'Items'!$P$2:$P$13,0)))</f>
        <v/>
      </c>
      <c r="D82" s="41">
        <f>IF($A82&gt;MAX('Items'!$P$2:$P$13),"",INDEX('Items'!$E$2:$E$13,MATCH($A82,'Items'!$P$2:$P$13,0)))</f>
        <v/>
      </c>
      <c r="E82" s="46">
        <f>IF($A82&gt;MAX('Items'!$P$2:$P$13),"",INDEX('Items'!$K$2:$K$13,MATCH($A82,'Items'!$P$2:$P$13,0)))</f>
        <v/>
      </c>
      <c r="F82" s="46">
        <f>IF($A82&gt;MAX('Items'!$P$2:$P$13),"",INDEX('Items'!$L$2:$L$13,MATCH($A82,'Items'!$P$2:$P$13,0)))</f>
        <v/>
      </c>
      <c r="G82" s="46">
        <f>IF(B82="","",MAX(N(INDEX('Items'!$M$2:$M$13,MATCH($A82,'Items'!$P$2:$P$13,0))),N(F82)-E82))</f>
        <v/>
      </c>
      <c r="H82" s="34">
        <f>IF(B82="","",G82*N(INDEX('Items'!$F$2:$F$13,MATCH($A82,'Items'!$P$2:$P$13,0))))</f>
        <v/>
      </c>
      <c r="I82" s="41">
        <f>IF($A82&gt;MAX('Items'!$P$2:$P$13),"",INDEX('Items'!$N$2:$N$13,MATCH($A82,'Items'!$P$2:$P$13,0)))</f>
        <v/>
      </c>
    </row>
    <row r="83">
      <c r="A83" s="3" t="n">
        <v>79</v>
      </c>
      <c r="B83" s="41">
        <f>IF($A83&gt;MAX('Items'!$P$2:$P$13),"",INDEX('Items'!$A$2:$A$13,MATCH($A83,'Items'!$P$2:$P$13,0)))</f>
        <v/>
      </c>
      <c r="C83" s="41">
        <f>IF($A83&gt;MAX('Items'!$P$2:$P$13),"",INDEX('Items'!$B$2:$B$13,MATCH($A83,'Items'!$P$2:$P$13,0)))</f>
        <v/>
      </c>
      <c r="D83" s="41">
        <f>IF($A83&gt;MAX('Items'!$P$2:$P$13),"",INDEX('Items'!$E$2:$E$13,MATCH($A83,'Items'!$P$2:$P$13,0)))</f>
        <v/>
      </c>
      <c r="E83" s="46">
        <f>IF($A83&gt;MAX('Items'!$P$2:$P$13),"",INDEX('Items'!$K$2:$K$13,MATCH($A83,'Items'!$P$2:$P$13,0)))</f>
        <v/>
      </c>
      <c r="F83" s="46">
        <f>IF($A83&gt;MAX('Items'!$P$2:$P$13),"",INDEX('Items'!$L$2:$L$13,MATCH($A83,'Items'!$P$2:$P$13,0)))</f>
        <v/>
      </c>
      <c r="G83" s="46">
        <f>IF(B83="","",MAX(N(INDEX('Items'!$M$2:$M$13,MATCH($A83,'Items'!$P$2:$P$13,0))),N(F83)-E83))</f>
        <v/>
      </c>
      <c r="H83" s="34">
        <f>IF(B83="","",G83*N(INDEX('Items'!$F$2:$F$13,MATCH($A83,'Items'!$P$2:$P$13,0))))</f>
        <v/>
      </c>
      <c r="I83" s="41">
        <f>IF($A83&gt;MAX('Items'!$P$2:$P$13),"",INDEX('Items'!$N$2:$N$13,MATCH($A83,'Items'!$P$2:$P$13,0)))</f>
        <v/>
      </c>
    </row>
    <row r="84">
      <c r="A84" s="3" t="n">
        <v>80</v>
      </c>
      <c r="B84" s="41">
        <f>IF($A84&gt;MAX('Items'!$P$2:$P$13),"",INDEX('Items'!$A$2:$A$13,MATCH($A84,'Items'!$P$2:$P$13,0)))</f>
        <v/>
      </c>
      <c r="C84" s="41">
        <f>IF($A84&gt;MAX('Items'!$P$2:$P$13),"",INDEX('Items'!$B$2:$B$13,MATCH($A84,'Items'!$P$2:$P$13,0)))</f>
        <v/>
      </c>
      <c r="D84" s="41">
        <f>IF($A84&gt;MAX('Items'!$P$2:$P$13),"",INDEX('Items'!$E$2:$E$13,MATCH($A84,'Items'!$P$2:$P$13,0)))</f>
        <v/>
      </c>
      <c r="E84" s="46">
        <f>IF($A84&gt;MAX('Items'!$P$2:$P$13),"",INDEX('Items'!$K$2:$K$13,MATCH($A84,'Items'!$P$2:$P$13,0)))</f>
        <v/>
      </c>
      <c r="F84" s="46">
        <f>IF($A84&gt;MAX('Items'!$P$2:$P$13),"",INDEX('Items'!$L$2:$L$13,MATCH($A84,'Items'!$P$2:$P$13,0)))</f>
        <v/>
      </c>
      <c r="G84" s="46">
        <f>IF(B84="","",MAX(N(INDEX('Items'!$M$2:$M$13,MATCH($A84,'Items'!$P$2:$P$13,0))),N(F84)-E84))</f>
        <v/>
      </c>
      <c r="H84" s="34">
        <f>IF(B84="","",G84*N(INDEX('Items'!$F$2:$F$13,MATCH($A84,'Items'!$P$2:$P$13,0))))</f>
        <v/>
      </c>
      <c r="I84" s="41">
        <f>IF($A84&gt;MAX('Items'!$P$2:$P$13),"",INDEX('Items'!$N$2:$N$13,MATCH($A84,'Items'!$P$2:$P$13,0)))</f>
        <v/>
      </c>
    </row>
    <row r="85">
      <c r="A85" s="3" t="n">
        <v>81</v>
      </c>
      <c r="B85" s="41">
        <f>IF($A85&gt;MAX('Items'!$P$2:$P$13),"",INDEX('Items'!$A$2:$A$13,MATCH($A85,'Items'!$P$2:$P$13,0)))</f>
        <v/>
      </c>
      <c r="C85" s="41">
        <f>IF($A85&gt;MAX('Items'!$P$2:$P$13),"",INDEX('Items'!$B$2:$B$13,MATCH($A85,'Items'!$P$2:$P$13,0)))</f>
        <v/>
      </c>
      <c r="D85" s="41">
        <f>IF($A85&gt;MAX('Items'!$P$2:$P$13),"",INDEX('Items'!$E$2:$E$13,MATCH($A85,'Items'!$P$2:$P$13,0)))</f>
        <v/>
      </c>
      <c r="E85" s="46">
        <f>IF($A85&gt;MAX('Items'!$P$2:$P$13),"",INDEX('Items'!$K$2:$K$13,MATCH($A85,'Items'!$P$2:$P$13,0)))</f>
        <v/>
      </c>
      <c r="F85" s="46">
        <f>IF($A85&gt;MAX('Items'!$P$2:$P$13),"",INDEX('Items'!$L$2:$L$13,MATCH($A85,'Items'!$P$2:$P$13,0)))</f>
        <v/>
      </c>
      <c r="G85" s="46">
        <f>IF(B85="","",MAX(N(INDEX('Items'!$M$2:$M$13,MATCH($A85,'Items'!$P$2:$P$13,0))),N(F85)-E85))</f>
        <v/>
      </c>
      <c r="H85" s="34">
        <f>IF(B85="","",G85*N(INDEX('Items'!$F$2:$F$13,MATCH($A85,'Items'!$P$2:$P$13,0))))</f>
        <v/>
      </c>
      <c r="I85" s="41">
        <f>IF($A85&gt;MAX('Items'!$P$2:$P$13),"",INDEX('Items'!$N$2:$N$13,MATCH($A85,'Items'!$P$2:$P$13,0)))</f>
        <v/>
      </c>
    </row>
    <row r="86">
      <c r="A86" s="3" t="n">
        <v>82</v>
      </c>
      <c r="B86" s="41">
        <f>IF($A86&gt;MAX('Items'!$P$2:$P$13),"",INDEX('Items'!$A$2:$A$13,MATCH($A86,'Items'!$P$2:$P$13,0)))</f>
        <v/>
      </c>
      <c r="C86" s="41">
        <f>IF($A86&gt;MAX('Items'!$P$2:$P$13),"",INDEX('Items'!$B$2:$B$13,MATCH($A86,'Items'!$P$2:$P$13,0)))</f>
        <v/>
      </c>
      <c r="D86" s="41">
        <f>IF($A86&gt;MAX('Items'!$P$2:$P$13),"",INDEX('Items'!$E$2:$E$13,MATCH($A86,'Items'!$P$2:$P$13,0)))</f>
        <v/>
      </c>
      <c r="E86" s="46">
        <f>IF($A86&gt;MAX('Items'!$P$2:$P$13),"",INDEX('Items'!$K$2:$K$13,MATCH($A86,'Items'!$P$2:$P$13,0)))</f>
        <v/>
      </c>
      <c r="F86" s="46">
        <f>IF($A86&gt;MAX('Items'!$P$2:$P$13),"",INDEX('Items'!$L$2:$L$13,MATCH($A86,'Items'!$P$2:$P$13,0)))</f>
        <v/>
      </c>
      <c r="G86" s="46">
        <f>IF(B86="","",MAX(N(INDEX('Items'!$M$2:$M$13,MATCH($A86,'Items'!$P$2:$P$13,0))),N(F86)-E86))</f>
        <v/>
      </c>
      <c r="H86" s="34">
        <f>IF(B86="","",G86*N(INDEX('Items'!$F$2:$F$13,MATCH($A86,'Items'!$P$2:$P$13,0))))</f>
        <v/>
      </c>
      <c r="I86" s="41">
        <f>IF($A86&gt;MAX('Items'!$P$2:$P$13),"",INDEX('Items'!$N$2:$N$13,MATCH($A86,'Items'!$P$2:$P$13,0)))</f>
        <v/>
      </c>
    </row>
    <row r="87">
      <c r="A87" s="3" t="n">
        <v>83</v>
      </c>
      <c r="B87" s="41">
        <f>IF($A87&gt;MAX('Items'!$P$2:$P$13),"",INDEX('Items'!$A$2:$A$13,MATCH($A87,'Items'!$P$2:$P$13,0)))</f>
        <v/>
      </c>
      <c r="C87" s="41">
        <f>IF($A87&gt;MAX('Items'!$P$2:$P$13),"",INDEX('Items'!$B$2:$B$13,MATCH($A87,'Items'!$P$2:$P$13,0)))</f>
        <v/>
      </c>
      <c r="D87" s="41">
        <f>IF($A87&gt;MAX('Items'!$P$2:$P$13),"",INDEX('Items'!$E$2:$E$13,MATCH($A87,'Items'!$P$2:$P$13,0)))</f>
        <v/>
      </c>
      <c r="E87" s="46">
        <f>IF($A87&gt;MAX('Items'!$P$2:$P$13),"",INDEX('Items'!$K$2:$K$13,MATCH($A87,'Items'!$P$2:$P$13,0)))</f>
        <v/>
      </c>
      <c r="F87" s="46">
        <f>IF($A87&gt;MAX('Items'!$P$2:$P$13),"",INDEX('Items'!$L$2:$L$13,MATCH($A87,'Items'!$P$2:$P$13,0)))</f>
        <v/>
      </c>
      <c r="G87" s="46">
        <f>IF(B87="","",MAX(N(INDEX('Items'!$M$2:$M$13,MATCH($A87,'Items'!$P$2:$P$13,0))),N(F87)-E87))</f>
        <v/>
      </c>
      <c r="H87" s="34">
        <f>IF(B87="","",G87*N(INDEX('Items'!$F$2:$F$13,MATCH($A87,'Items'!$P$2:$P$13,0))))</f>
        <v/>
      </c>
      <c r="I87" s="41">
        <f>IF($A87&gt;MAX('Items'!$P$2:$P$13),"",INDEX('Items'!$N$2:$N$13,MATCH($A87,'Items'!$P$2:$P$13,0)))</f>
        <v/>
      </c>
    </row>
    <row r="88">
      <c r="A88" s="3" t="n">
        <v>84</v>
      </c>
      <c r="B88" s="41">
        <f>IF($A88&gt;MAX('Items'!$P$2:$P$13),"",INDEX('Items'!$A$2:$A$13,MATCH($A88,'Items'!$P$2:$P$13,0)))</f>
        <v/>
      </c>
      <c r="C88" s="41">
        <f>IF($A88&gt;MAX('Items'!$P$2:$P$13),"",INDEX('Items'!$B$2:$B$13,MATCH($A88,'Items'!$P$2:$P$13,0)))</f>
        <v/>
      </c>
      <c r="D88" s="41">
        <f>IF($A88&gt;MAX('Items'!$P$2:$P$13),"",INDEX('Items'!$E$2:$E$13,MATCH($A88,'Items'!$P$2:$P$13,0)))</f>
        <v/>
      </c>
      <c r="E88" s="46">
        <f>IF($A88&gt;MAX('Items'!$P$2:$P$13),"",INDEX('Items'!$K$2:$K$13,MATCH($A88,'Items'!$P$2:$P$13,0)))</f>
        <v/>
      </c>
      <c r="F88" s="46">
        <f>IF($A88&gt;MAX('Items'!$P$2:$P$13),"",INDEX('Items'!$L$2:$L$13,MATCH($A88,'Items'!$P$2:$P$13,0)))</f>
        <v/>
      </c>
      <c r="G88" s="46">
        <f>IF(B88="","",MAX(N(INDEX('Items'!$M$2:$M$13,MATCH($A88,'Items'!$P$2:$P$13,0))),N(F88)-E88))</f>
        <v/>
      </c>
      <c r="H88" s="34">
        <f>IF(B88="","",G88*N(INDEX('Items'!$F$2:$F$13,MATCH($A88,'Items'!$P$2:$P$13,0))))</f>
        <v/>
      </c>
      <c r="I88" s="41">
        <f>IF($A88&gt;MAX('Items'!$P$2:$P$13),"",INDEX('Items'!$N$2:$N$13,MATCH($A88,'Items'!$P$2:$P$13,0)))</f>
        <v/>
      </c>
    </row>
    <row r="89">
      <c r="A89" s="3" t="n">
        <v>85</v>
      </c>
      <c r="B89" s="41">
        <f>IF($A89&gt;MAX('Items'!$P$2:$P$13),"",INDEX('Items'!$A$2:$A$13,MATCH($A89,'Items'!$P$2:$P$13,0)))</f>
        <v/>
      </c>
      <c r="C89" s="41">
        <f>IF($A89&gt;MAX('Items'!$P$2:$P$13),"",INDEX('Items'!$B$2:$B$13,MATCH($A89,'Items'!$P$2:$P$13,0)))</f>
        <v/>
      </c>
      <c r="D89" s="41">
        <f>IF($A89&gt;MAX('Items'!$P$2:$P$13),"",INDEX('Items'!$E$2:$E$13,MATCH($A89,'Items'!$P$2:$P$13,0)))</f>
        <v/>
      </c>
      <c r="E89" s="46">
        <f>IF($A89&gt;MAX('Items'!$P$2:$P$13),"",INDEX('Items'!$K$2:$K$13,MATCH($A89,'Items'!$P$2:$P$13,0)))</f>
        <v/>
      </c>
      <c r="F89" s="46">
        <f>IF($A89&gt;MAX('Items'!$P$2:$P$13),"",INDEX('Items'!$L$2:$L$13,MATCH($A89,'Items'!$P$2:$P$13,0)))</f>
        <v/>
      </c>
      <c r="G89" s="46">
        <f>IF(B89="","",MAX(N(INDEX('Items'!$M$2:$M$13,MATCH($A89,'Items'!$P$2:$P$13,0))),N(F89)-E89))</f>
        <v/>
      </c>
      <c r="H89" s="34">
        <f>IF(B89="","",G89*N(INDEX('Items'!$F$2:$F$13,MATCH($A89,'Items'!$P$2:$P$13,0))))</f>
        <v/>
      </c>
      <c r="I89" s="41">
        <f>IF($A89&gt;MAX('Items'!$P$2:$P$13),"",INDEX('Items'!$N$2:$N$13,MATCH($A89,'Items'!$P$2:$P$13,0)))</f>
        <v/>
      </c>
    </row>
    <row r="90">
      <c r="A90" s="3" t="n">
        <v>86</v>
      </c>
      <c r="B90" s="41">
        <f>IF($A90&gt;MAX('Items'!$P$2:$P$13),"",INDEX('Items'!$A$2:$A$13,MATCH($A90,'Items'!$P$2:$P$13,0)))</f>
        <v/>
      </c>
      <c r="C90" s="41">
        <f>IF($A90&gt;MAX('Items'!$P$2:$P$13),"",INDEX('Items'!$B$2:$B$13,MATCH($A90,'Items'!$P$2:$P$13,0)))</f>
        <v/>
      </c>
      <c r="D90" s="41">
        <f>IF($A90&gt;MAX('Items'!$P$2:$P$13),"",INDEX('Items'!$E$2:$E$13,MATCH($A90,'Items'!$P$2:$P$13,0)))</f>
        <v/>
      </c>
      <c r="E90" s="46">
        <f>IF($A90&gt;MAX('Items'!$P$2:$P$13),"",INDEX('Items'!$K$2:$K$13,MATCH($A90,'Items'!$P$2:$P$13,0)))</f>
        <v/>
      </c>
      <c r="F90" s="46">
        <f>IF($A90&gt;MAX('Items'!$P$2:$P$13),"",INDEX('Items'!$L$2:$L$13,MATCH($A90,'Items'!$P$2:$P$13,0)))</f>
        <v/>
      </c>
      <c r="G90" s="46">
        <f>IF(B90="","",MAX(N(INDEX('Items'!$M$2:$M$13,MATCH($A90,'Items'!$P$2:$P$13,0))),N(F90)-E90))</f>
        <v/>
      </c>
      <c r="H90" s="34">
        <f>IF(B90="","",G90*N(INDEX('Items'!$F$2:$F$13,MATCH($A90,'Items'!$P$2:$P$13,0))))</f>
        <v/>
      </c>
      <c r="I90" s="41">
        <f>IF($A90&gt;MAX('Items'!$P$2:$P$13),"",INDEX('Items'!$N$2:$N$13,MATCH($A90,'Items'!$P$2:$P$13,0)))</f>
        <v/>
      </c>
    </row>
    <row r="91">
      <c r="A91" s="3" t="n">
        <v>87</v>
      </c>
      <c r="B91" s="41">
        <f>IF($A91&gt;MAX('Items'!$P$2:$P$13),"",INDEX('Items'!$A$2:$A$13,MATCH($A91,'Items'!$P$2:$P$13,0)))</f>
        <v/>
      </c>
      <c r="C91" s="41">
        <f>IF($A91&gt;MAX('Items'!$P$2:$P$13),"",INDEX('Items'!$B$2:$B$13,MATCH($A91,'Items'!$P$2:$P$13,0)))</f>
        <v/>
      </c>
      <c r="D91" s="41">
        <f>IF($A91&gt;MAX('Items'!$P$2:$P$13),"",INDEX('Items'!$E$2:$E$13,MATCH($A91,'Items'!$P$2:$P$13,0)))</f>
        <v/>
      </c>
      <c r="E91" s="46">
        <f>IF($A91&gt;MAX('Items'!$P$2:$P$13),"",INDEX('Items'!$K$2:$K$13,MATCH($A91,'Items'!$P$2:$P$13,0)))</f>
        <v/>
      </c>
      <c r="F91" s="46">
        <f>IF($A91&gt;MAX('Items'!$P$2:$P$13),"",INDEX('Items'!$L$2:$L$13,MATCH($A91,'Items'!$P$2:$P$13,0)))</f>
        <v/>
      </c>
      <c r="G91" s="46">
        <f>IF(B91="","",MAX(N(INDEX('Items'!$M$2:$M$13,MATCH($A91,'Items'!$P$2:$P$13,0))),N(F91)-E91))</f>
        <v/>
      </c>
      <c r="H91" s="34">
        <f>IF(B91="","",G91*N(INDEX('Items'!$F$2:$F$13,MATCH($A91,'Items'!$P$2:$P$13,0))))</f>
        <v/>
      </c>
      <c r="I91" s="41">
        <f>IF($A91&gt;MAX('Items'!$P$2:$P$13),"",INDEX('Items'!$N$2:$N$13,MATCH($A91,'Items'!$P$2:$P$13,0)))</f>
        <v/>
      </c>
    </row>
    <row r="92">
      <c r="A92" s="3" t="n">
        <v>88</v>
      </c>
      <c r="B92" s="41">
        <f>IF($A92&gt;MAX('Items'!$P$2:$P$13),"",INDEX('Items'!$A$2:$A$13,MATCH($A92,'Items'!$P$2:$P$13,0)))</f>
        <v/>
      </c>
      <c r="C92" s="41">
        <f>IF($A92&gt;MAX('Items'!$P$2:$P$13),"",INDEX('Items'!$B$2:$B$13,MATCH($A92,'Items'!$P$2:$P$13,0)))</f>
        <v/>
      </c>
      <c r="D92" s="41">
        <f>IF($A92&gt;MAX('Items'!$P$2:$P$13),"",INDEX('Items'!$E$2:$E$13,MATCH($A92,'Items'!$P$2:$P$13,0)))</f>
        <v/>
      </c>
      <c r="E92" s="46">
        <f>IF($A92&gt;MAX('Items'!$P$2:$P$13),"",INDEX('Items'!$K$2:$K$13,MATCH($A92,'Items'!$P$2:$P$13,0)))</f>
        <v/>
      </c>
      <c r="F92" s="46">
        <f>IF($A92&gt;MAX('Items'!$P$2:$P$13),"",INDEX('Items'!$L$2:$L$13,MATCH($A92,'Items'!$P$2:$P$13,0)))</f>
        <v/>
      </c>
      <c r="G92" s="46">
        <f>IF(B92="","",MAX(N(INDEX('Items'!$M$2:$M$13,MATCH($A92,'Items'!$P$2:$P$13,0))),N(F92)-E92))</f>
        <v/>
      </c>
      <c r="H92" s="34">
        <f>IF(B92="","",G92*N(INDEX('Items'!$F$2:$F$13,MATCH($A92,'Items'!$P$2:$P$13,0))))</f>
        <v/>
      </c>
      <c r="I92" s="41">
        <f>IF($A92&gt;MAX('Items'!$P$2:$P$13),"",INDEX('Items'!$N$2:$N$13,MATCH($A92,'Items'!$P$2:$P$13,0)))</f>
        <v/>
      </c>
    </row>
    <row r="93">
      <c r="A93" s="3" t="n">
        <v>89</v>
      </c>
      <c r="B93" s="41">
        <f>IF($A93&gt;MAX('Items'!$P$2:$P$13),"",INDEX('Items'!$A$2:$A$13,MATCH($A93,'Items'!$P$2:$P$13,0)))</f>
        <v/>
      </c>
      <c r="C93" s="41">
        <f>IF($A93&gt;MAX('Items'!$P$2:$P$13),"",INDEX('Items'!$B$2:$B$13,MATCH($A93,'Items'!$P$2:$P$13,0)))</f>
        <v/>
      </c>
      <c r="D93" s="41">
        <f>IF($A93&gt;MAX('Items'!$P$2:$P$13),"",INDEX('Items'!$E$2:$E$13,MATCH($A93,'Items'!$P$2:$P$13,0)))</f>
        <v/>
      </c>
      <c r="E93" s="46">
        <f>IF($A93&gt;MAX('Items'!$P$2:$P$13),"",INDEX('Items'!$K$2:$K$13,MATCH($A93,'Items'!$P$2:$P$13,0)))</f>
        <v/>
      </c>
      <c r="F93" s="46">
        <f>IF($A93&gt;MAX('Items'!$P$2:$P$13),"",INDEX('Items'!$L$2:$L$13,MATCH($A93,'Items'!$P$2:$P$13,0)))</f>
        <v/>
      </c>
      <c r="G93" s="46">
        <f>IF(B93="","",MAX(N(INDEX('Items'!$M$2:$M$13,MATCH($A93,'Items'!$P$2:$P$13,0))),N(F93)-E93))</f>
        <v/>
      </c>
      <c r="H93" s="34">
        <f>IF(B93="","",G93*N(INDEX('Items'!$F$2:$F$13,MATCH($A93,'Items'!$P$2:$P$13,0))))</f>
        <v/>
      </c>
      <c r="I93" s="41">
        <f>IF($A93&gt;MAX('Items'!$P$2:$P$13),"",INDEX('Items'!$N$2:$N$13,MATCH($A93,'Items'!$P$2:$P$13,0)))</f>
        <v/>
      </c>
    </row>
    <row r="94">
      <c r="A94" s="3" t="n">
        <v>90</v>
      </c>
      <c r="B94" s="41">
        <f>IF($A94&gt;MAX('Items'!$P$2:$P$13),"",INDEX('Items'!$A$2:$A$13,MATCH($A94,'Items'!$P$2:$P$13,0)))</f>
        <v/>
      </c>
      <c r="C94" s="41">
        <f>IF($A94&gt;MAX('Items'!$P$2:$P$13),"",INDEX('Items'!$B$2:$B$13,MATCH($A94,'Items'!$P$2:$P$13,0)))</f>
        <v/>
      </c>
      <c r="D94" s="41">
        <f>IF($A94&gt;MAX('Items'!$P$2:$P$13),"",INDEX('Items'!$E$2:$E$13,MATCH($A94,'Items'!$P$2:$P$13,0)))</f>
        <v/>
      </c>
      <c r="E94" s="46">
        <f>IF($A94&gt;MAX('Items'!$P$2:$P$13),"",INDEX('Items'!$K$2:$K$13,MATCH($A94,'Items'!$P$2:$P$13,0)))</f>
        <v/>
      </c>
      <c r="F94" s="46">
        <f>IF($A94&gt;MAX('Items'!$P$2:$P$13),"",INDEX('Items'!$L$2:$L$13,MATCH($A94,'Items'!$P$2:$P$13,0)))</f>
        <v/>
      </c>
      <c r="G94" s="46">
        <f>IF(B94="","",MAX(N(INDEX('Items'!$M$2:$M$13,MATCH($A94,'Items'!$P$2:$P$13,0))),N(F94)-E94))</f>
        <v/>
      </c>
      <c r="H94" s="34">
        <f>IF(B94="","",G94*N(INDEX('Items'!$F$2:$F$13,MATCH($A94,'Items'!$P$2:$P$13,0))))</f>
        <v/>
      </c>
      <c r="I94" s="41">
        <f>IF($A94&gt;MAX('Items'!$P$2:$P$13),"",INDEX('Items'!$N$2:$N$13,MATCH($A94,'Items'!$P$2:$P$13,0)))</f>
        <v/>
      </c>
    </row>
    <row r="95">
      <c r="A95" s="3" t="n">
        <v>91</v>
      </c>
      <c r="B95" s="41">
        <f>IF($A95&gt;MAX('Items'!$P$2:$P$13),"",INDEX('Items'!$A$2:$A$13,MATCH($A95,'Items'!$P$2:$P$13,0)))</f>
        <v/>
      </c>
      <c r="C95" s="41">
        <f>IF($A95&gt;MAX('Items'!$P$2:$P$13),"",INDEX('Items'!$B$2:$B$13,MATCH($A95,'Items'!$P$2:$P$13,0)))</f>
        <v/>
      </c>
      <c r="D95" s="41">
        <f>IF($A95&gt;MAX('Items'!$P$2:$P$13),"",INDEX('Items'!$E$2:$E$13,MATCH($A95,'Items'!$P$2:$P$13,0)))</f>
        <v/>
      </c>
      <c r="E95" s="46">
        <f>IF($A95&gt;MAX('Items'!$P$2:$P$13),"",INDEX('Items'!$K$2:$K$13,MATCH($A95,'Items'!$P$2:$P$13,0)))</f>
        <v/>
      </c>
      <c r="F95" s="46">
        <f>IF($A95&gt;MAX('Items'!$P$2:$P$13),"",INDEX('Items'!$L$2:$L$13,MATCH($A95,'Items'!$P$2:$P$13,0)))</f>
        <v/>
      </c>
      <c r="G95" s="46">
        <f>IF(B95="","",MAX(N(INDEX('Items'!$M$2:$M$13,MATCH($A95,'Items'!$P$2:$P$13,0))),N(F95)-E95))</f>
        <v/>
      </c>
      <c r="H95" s="34">
        <f>IF(B95="","",G95*N(INDEX('Items'!$F$2:$F$13,MATCH($A95,'Items'!$P$2:$P$13,0))))</f>
        <v/>
      </c>
      <c r="I95" s="41">
        <f>IF($A95&gt;MAX('Items'!$P$2:$P$13),"",INDEX('Items'!$N$2:$N$13,MATCH($A95,'Items'!$P$2:$P$13,0)))</f>
        <v/>
      </c>
    </row>
    <row r="96">
      <c r="A96" s="3" t="n">
        <v>92</v>
      </c>
      <c r="B96" s="41">
        <f>IF($A96&gt;MAX('Items'!$P$2:$P$13),"",INDEX('Items'!$A$2:$A$13,MATCH($A96,'Items'!$P$2:$P$13,0)))</f>
        <v/>
      </c>
      <c r="C96" s="41">
        <f>IF($A96&gt;MAX('Items'!$P$2:$P$13),"",INDEX('Items'!$B$2:$B$13,MATCH($A96,'Items'!$P$2:$P$13,0)))</f>
        <v/>
      </c>
      <c r="D96" s="41">
        <f>IF($A96&gt;MAX('Items'!$P$2:$P$13),"",INDEX('Items'!$E$2:$E$13,MATCH($A96,'Items'!$P$2:$P$13,0)))</f>
        <v/>
      </c>
      <c r="E96" s="46">
        <f>IF($A96&gt;MAX('Items'!$P$2:$P$13),"",INDEX('Items'!$K$2:$K$13,MATCH($A96,'Items'!$P$2:$P$13,0)))</f>
        <v/>
      </c>
      <c r="F96" s="46">
        <f>IF($A96&gt;MAX('Items'!$P$2:$P$13),"",INDEX('Items'!$L$2:$L$13,MATCH($A96,'Items'!$P$2:$P$13,0)))</f>
        <v/>
      </c>
      <c r="G96" s="46">
        <f>IF(B96="","",MAX(N(INDEX('Items'!$M$2:$M$13,MATCH($A96,'Items'!$P$2:$P$13,0))),N(F96)-E96))</f>
        <v/>
      </c>
      <c r="H96" s="34">
        <f>IF(B96="","",G96*N(INDEX('Items'!$F$2:$F$13,MATCH($A96,'Items'!$P$2:$P$13,0))))</f>
        <v/>
      </c>
      <c r="I96" s="41">
        <f>IF($A96&gt;MAX('Items'!$P$2:$P$13),"",INDEX('Items'!$N$2:$N$13,MATCH($A96,'Items'!$P$2:$P$13,0)))</f>
        <v/>
      </c>
    </row>
    <row r="97">
      <c r="A97" s="3" t="n">
        <v>93</v>
      </c>
      <c r="B97" s="41">
        <f>IF($A97&gt;MAX('Items'!$P$2:$P$13),"",INDEX('Items'!$A$2:$A$13,MATCH($A97,'Items'!$P$2:$P$13,0)))</f>
        <v/>
      </c>
      <c r="C97" s="41">
        <f>IF($A97&gt;MAX('Items'!$P$2:$P$13),"",INDEX('Items'!$B$2:$B$13,MATCH($A97,'Items'!$P$2:$P$13,0)))</f>
        <v/>
      </c>
      <c r="D97" s="41">
        <f>IF($A97&gt;MAX('Items'!$P$2:$P$13),"",INDEX('Items'!$E$2:$E$13,MATCH($A97,'Items'!$P$2:$P$13,0)))</f>
        <v/>
      </c>
      <c r="E97" s="46">
        <f>IF($A97&gt;MAX('Items'!$P$2:$P$13),"",INDEX('Items'!$K$2:$K$13,MATCH($A97,'Items'!$P$2:$P$13,0)))</f>
        <v/>
      </c>
      <c r="F97" s="46">
        <f>IF($A97&gt;MAX('Items'!$P$2:$P$13),"",INDEX('Items'!$L$2:$L$13,MATCH($A97,'Items'!$P$2:$P$13,0)))</f>
        <v/>
      </c>
      <c r="G97" s="46">
        <f>IF(B97="","",MAX(N(INDEX('Items'!$M$2:$M$13,MATCH($A97,'Items'!$P$2:$P$13,0))),N(F97)-E97))</f>
        <v/>
      </c>
      <c r="H97" s="34">
        <f>IF(B97="","",G97*N(INDEX('Items'!$F$2:$F$13,MATCH($A97,'Items'!$P$2:$P$13,0))))</f>
        <v/>
      </c>
      <c r="I97" s="41">
        <f>IF($A97&gt;MAX('Items'!$P$2:$P$13),"",INDEX('Items'!$N$2:$N$13,MATCH($A97,'Items'!$P$2:$P$13,0)))</f>
        <v/>
      </c>
    </row>
    <row r="98">
      <c r="A98" s="3" t="n">
        <v>94</v>
      </c>
      <c r="B98" s="41">
        <f>IF($A98&gt;MAX('Items'!$P$2:$P$13),"",INDEX('Items'!$A$2:$A$13,MATCH($A98,'Items'!$P$2:$P$13,0)))</f>
        <v/>
      </c>
      <c r="C98" s="41">
        <f>IF($A98&gt;MAX('Items'!$P$2:$P$13),"",INDEX('Items'!$B$2:$B$13,MATCH($A98,'Items'!$P$2:$P$13,0)))</f>
        <v/>
      </c>
      <c r="D98" s="41">
        <f>IF($A98&gt;MAX('Items'!$P$2:$P$13),"",INDEX('Items'!$E$2:$E$13,MATCH($A98,'Items'!$P$2:$P$13,0)))</f>
        <v/>
      </c>
      <c r="E98" s="46">
        <f>IF($A98&gt;MAX('Items'!$P$2:$P$13),"",INDEX('Items'!$K$2:$K$13,MATCH($A98,'Items'!$P$2:$P$13,0)))</f>
        <v/>
      </c>
      <c r="F98" s="46">
        <f>IF($A98&gt;MAX('Items'!$P$2:$P$13),"",INDEX('Items'!$L$2:$L$13,MATCH($A98,'Items'!$P$2:$P$13,0)))</f>
        <v/>
      </c>
      <c r="G98" s="46">
        <f>IF(B98="","",MAX(N(INDEX('Items'!$M$2:$M$13,MATCH($A98,'Items'!$P$2:$P$13,0))),N(F98)-E98))</f>
        <v/>
      </c>
      <c r="H98" s="34">
        <f>IF(B98="","",G98*N(INDEX('Items'!$F$2:$F$13,MATCH($A98,'Items'!$P$2:$P$13,0))))</f>
        <v/>
      </c>
      <c r="I98" s="41">
        <f>IF($A98&gt;MAX('Items'!$P$2:$P$13),"",INDEX('Items'!$N$2:$N$13,MATCH($A98,'Items'!$P$2:$P$13,0)))</f>
        <v/>
      </c>
    </row>
    <row r="99">
      <c r="A99" s="3" t="n">
        <v>95</v>
      </c>
      <c r="B99" s="41">
        <f>IF($A99&gt;MAX('Items'!$P$2:$P$13),"",INDEX('Items'!$A$2:$A$13,MATCH($A99,'Items'!$P$2:$P$13,0)))</f>
        <v/>
      </c>
      <c r="C99" s="41">
        <f>IF($A99&gt;MAX('Items'!$P$2:$P$13),"",INDEX('Items'!$B$2:$B$13,MATCH($A99,'Items'!$P$2:$P$13,0)))</f>
        <v/>
      </c>
      <c r="D99" s="41">
        <f>IF($A99&gt;MAX('Items'!$P$2:$P$13),"",INDEX('Items'!$E$2:$E$13,MATCH($A99,'Items'!$P$2:$P$13,0)))</f>
        <v/>
      </c>
      <c r="E99" s="46">
        <f>IF($A99&gt;MAX('Items'!$P$2:$P$13),"",INDEX('Items'!$K$2:$K$13,MATCH($A99,'Items'!$P$2:$P$13,0)))</f>
        <v/>
      </c>
      <c r="F99" s="46">
        <f>IF($A99&gt;MAX('Items'!$P$2:$P$13),"",INDEX('Items'!$L$2:$L$13,MATCH($A99,'Items'!$P$2:$P$13,0)))</f>
        <v/>
      </c>
      <c r="G99" s="46">
        <f>IF(B99="","",MAX(N(INDEX('Items'!$M$2:$M$13,MATCH($A99,'Items'!$P$2:$P$13,0))),N(F99)-E99))</f>
        <v/>
      </c>
      <c r="H99" s="34">
        <f>IF(B99="","",G99*N(INDEX('Items'!$F$2:$F$13,MATCH($A99,'Items'!$P$2:$P$13,0))))</f>
        <v/>
      </c>
      <c r="I99" s="41">
        <f>IF($A99&gt;MAX('Items'!$P$2:$P$13),"",INDEX('Items'!$N$2:$N$13,MATCH($A99,'Items'!$P$2:$P$13,0)))</f>
        <v/>
      </c>
    </row>
    <row r="100">
      <c r="A100" s="3" t="n">
        <v>96</v>
      </c>
      <c r="B100" s="41">
        <f>IF($A100&gt;MAX('Items'!$P$2:$P$13),"",INDEX('Items'!$A$2:$A$13,MATCH($A100,'Items'!$P$2:$P$13,0)))</f>
        <v/>
      </c>
      <c r="C100" s="41">
        <f>IF($A100&gt;MAX('Items'!$P$2:$P$13),"",INDEX('Items'!$B$2:$B$13,MATCH($A100,'Items'!$P$2:$P$13,0)))</f>
        <v/>
      </c>
      <c r="D100" s="41">
        <f>IF($A100&gt;MAX('Items'!$P$2:$P$13),"",INDEX('Items'!$E$2:$E$13,MATCH($A100,'Items'!$P$2:$P$13,0)))</f>
        <v/>
      </c>
      <c r="E100" s="46">
        <f>IF($A100&gt;MAX('Items'!$P$2:$P$13),"",INDEX('Items'!$K$2:$K$13,MATCH($A100,'Items'!$P$2:$P$13,0)))</f>
        <v/>
      </c>
      <c r="F100" s="46">
        <f>IF($A100&gt;MAX('Items'!$P$2:$P$13),"",INDEX('Items'!$L$2:$L$13,MATCH($A100,'Items'!$P$2:$P$13,0)))</f>
        <v/>
      </c>
      <c r="G100" s="46">
        <f>IF(B100="","",MAX(N(INDEX('Items'!$M$2:$M$13,MATCH($A100,'Items'!$P$2:$P$13,0))),N(F100)-E100))</f>
        <v/>
      </c>
      <c r="H100" s="34">
        <f>IF(B100="","",G100*N(INDEX('Items'!$F$2:$F$13,MATCH($A100,'Items'!$P$2:$P$13,0))))</f>
        <v/>
      </c>
      <c r="I100" s="41">
        <f>IF($A100&gt;MAX('Items'!$P$2:$P$13),"",INDEX('Items'!$N$2:$N$13,MATCH($A100,'Items'!$P$2:$P$13,0)))</f>
        <v/>
      </c>
    </row>
    <row r="101">
      <c r="A101" s="3" t="n">
        <v>97</v>
      </c>
      <c r="B101" s="41">
        <f>IF($A101&gt;MAX('Items'!$P$2:$P$13),"",INDEX('Items'!$A$2:$A$13,MATCH($A101,'Items'!$P$2:$P$13,0)))</f>
        <v/>
      </c>
      <c r="C101" s="41">
        <f>IF($A101&gt;MAX('Items'!$P$2:$P$13),"",INDEX('Items'!$B$2:$B$13,MATCH($A101,'Items'!$P$2:$P$13,0)))</f>
        <v/>
      </c>
      <c r="D101" s="41">
        <f>IF($A101&gt;MAX('Items'!$P$2:$P$13),"",INDEX('Items'!$E$2:$E$13,MATCH($A101,'Items'!$P$2:$P$13,0)))</f>
        <v/>
      </c>
      <c r="E101" s="46">
        <f>IF($A101&gt;MAX('Items'!$P$2:$P$13),"",INDEX('Items'!$K$2:$K$13,MATCH($A101,'Items'!$P$2:$P$13,0)))</f>
        <v/>
      </c>
      <c r="F101" s="46">
        <f>IF($A101&gt;MAX('Items'!$P$2:$P$13),"",INDEX('Items'!$L$2:$L$13,MATCH($A101,'Items'!$P$2:$P$13,0)))</f>
        <v/>
      </c>
      <c r="G101" s="46">
        <f>IF(B101="","",MAX(N(INDEX('Items'!$M$2:$M$13,MATCH($A101,'Items'!$P$2:$P$13,0))),N(F101)-E101))</f>
        <v/>
      </c>
      <c r="H101" s="34">
        <f>IF(B101="","",G101*N(INDEX('Items'!$F$2:$F$13,MATCH($A101,'Items'!$P$2:$P$13,0))))</f>
        <v/>
      </c>
      <c r="I101" s="41">
        <f>IF($A101&gt;MAX('Items'!$P$2:$P$13),"",INDEX('Items'!$N$2:$N$13,MATCH($A101,'Items'!$P$2:$P$13,0)))</f>
        <v/>
      </c>
    </row>
    <row r="102">
      <c r="A102" s="3" t="n">
        <v>98</v>
      </c>
      <c r="B102" s="41">
        <f>IF($A102&gt;MAX('Items'!$P$2:$P$13),"",INDEX('Items'!$A$2:$A$13,MATCH($A102,'Items'!$P$2:$P$13,0)))</f>
        <v/>
      </c>
      <c r="C102" s="41">
        <f>IF($A102&gt;MAX('Items'!$P$2:$P$13),"",INDEX('Items'!$B$2:$B$13,MATCH($A102,'Items'!$P$2:$P$13,0)))</f>
        <v/>
      </c>
      <c r="D102" s="41">
        <f>IF($A102&gt;MAX('Items'!$P$2:$P$13),"",INDEX('Items'!$E$2:$E$13,MATCH($A102,'Items'!$P$2:$P$13,0)))</f>
        <v/>
      </c>
      <c r="E102" s="46">
        <f>IF($A102&gt;MAX('Items'!$P$2:$P$13),"",INDEX('Items'!$K$2:$K$13,MATCH($A102,'Items'!$P$2:$P$13,0)))</f>
        <v/>
      </c>
      <c r="F102" s="46">
        <f>IF($A102&gt;MAX('Items'!$P$2:$P$13),"",INDEX('Items'!$L$2:$L$13,MATCH($A102,'Items'!$P$2:$P$13,0)))</f>
        <v/>
      </c>
      <c r="G102" s="46">
        <f>IF(B102="","",MAX(N(INDEX('Items'!$M$2:$M$13,MATCH($A102,'Items'!$P$2:$P$13,0))),N(F102)-E102))</f>
        <v/>
      </c>
      <c r="H102" s="34">
        <f>IF(B102="","",G102*N(INDEX('Items'!$F$2:$F$13,MATCH($A102,'Items'!$P$2:$P$13,0))))</f>
        <v/>
      </c>
      <c r="I102" s="41">
        <f>IF($A102&gt;MAX('Items'!$P$2:$P$13),"",INDEX('Items'!$N$2:$N$13,MATCH($A102,'Items'!$P$2:$P$13,0)))</f>
        <v/>
      </c>
    </row>
    <row r="103">
      <c r="A103" s="3" t="n">
        <v>99</v>
      </c>
      <c r="B103" s="41">
        <f>IF($A103&gt;MAX('Items'!$P$2:$P$13),"",INDEX('Items'!$A$2:$A$13,MATCH($A103,'Items'!$P$2:$P$13,0)))</f>
        <v/>
      </c>
      <c r="C103" s="41">
        <f>IF($A103&gt;MAX('Items'!$P$2:$P$13),"",INDEX('Items'!$B$2:$B$13,MATCH($A103,'Items'!$P$2:$P$13,0)))</f>
        <v/>
      </c>
      <c r="D103" s="41">
        <f>IF($A103&gt;MAX('Items'!$P$2:$P$13),"",INDEX('Items'!$E$2:$E$13,MATCH($A103,'Items'!$P$2:$P$13,0)))</f>
        <v/>
      </c>
      <c r="E103" s="46">
        <f>IF($A103&gt;MAX('Items'!$P$2:$P$13),"",INDEX('Items'!$K$2:$K$13,MATCH($A103,'Items'!$P$2:$P$13,0)))</f>
        <v/>
      </c>
      <c r="F103" s="46">
        <f>IF($A103&gt;MAX('Items'!$P$2:$P$13),"",INDEX('Items'!$L$2:$L$13,MATCH($A103,'Items'!$P$2:$P$13,0)))</f>
        <v/>
      </c>
      <c r="G103" s="46">
        <f>IF(B103="","",MAX(N(INDEX('Items'!$M$2:$M$13,MATCH($A103,'Items'!$P$2:$P$13,0))),N(F103)-E103))</f>
        <v/>
      </c>
      <c r="H103" s="34">
        <f>IF(B103="","",G103*N(INDEX('Items'!$F$2:$F$13,MATCH($A103,'Items'!$P$2:$P$13,0))))</f>
        <v/>
      </c>
      <c r="I103" s="41">
        <f>IF($A103&gt;MAX('Items'!$P$2:$P$13),"",INDEX('Items'!$N$2:$N$13,MATCH($A103,'Items'!$P$2:$P$13,0)))</f>
        <v/>
      </c>
    </row>
    <row r="104">
      <c r="A104" s="3" t="n">
        <v>100</v>
      </c>
      <c r="B104" s="41">
        <f>IF($A104&gt;MAX('Items'!$P$2:$P$13),"",INDEX('Items'!$A$2:$A$13,MATCH($A104,'Items'!$P$2:$P$13,0)))</f>
        <v/>
      </c>
      <c r="C104" s="41">
        <f>IF($A104&gt;MAX('Items'!$P$2:$P$13),"",INDEX('Items'!$B$2:$B$13,MATCH($A104,'Items'!$P$2:$P$13,0)))</f>
        <v/>
      </c>
      <c r="D104" s="41">
        <f>IF($A104&gt;MAX('Items'!$P$2:$P$13),"",INDEX('Items'!$E$2:$E$13,MATCH($A104,'Items'!$P$2:$P$13,0)))</f>
        <v/>
      </c>
      <c r="E104" s="46">
        <f>IF($A104&gt;MAX('Items'!$P$2:$P$13),"",INDEX('Items'!$K$2:$K$13,MATCH($A104,'Items'!$P$2:$P$13,0)))</f>
        <v/>
      </c>
      <c r="F104" s="46">
        <f>IF($A104&gt;MAX('Items'!$P$2:$P$13),"",INDEX('Items'!$L$2:$L$13,MATCH($A104,'Items'!$P$2:$P$13,0)))</f>
        <v/>
      </c>
      <c r="G104" s="46">
        <f>IF(B104="","",MAX(N(INDEX('Items'!$M$2:$M$13,MATCH($A104,'Items'!$P$2:$P$13,0))),N(F104)-E104))</f>
        <v/>
      </c>
      <c r="H104" s="34">
        <f>IF(B104="","",G104*N(INDEX('Items'!$F$2:$F$13,MATCH($A104,'Items'!$P$2:$P$13,0))))</f>
        <v/>
      </c>
      <c r="I104" s="41">
        <f>IF($A104&gt;MAX('Items'!$P$2:$P$13),"",INDEX('Items'!$N$2:$N$13,MATCH($A104,'Items'!$P$2:$P$13,0)))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I5:I104">
    <cfRule type="cellIs" priority="1" operator="equal" dxfId="0">
      <formula>"Out of stock"</formula>
    </cfRule>
  </conditionalFormatting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8" customWidth="1" min="4" max="4"/>
    <col width="9" customWidth="1" min="5" max="5"/>
    <col width="10" customWidth="1" min="6" max="6"/>
    <col width="13" customWidth="1" min="7" max="7"/>
    <col width="24" customWidth="1" min="8" max="8"/>
  </cols>
  <sheetData>
    <row r="1" ht="32" customHeight="1">
      <c r="A1" s="21" t="inlineStr">
        <is>
          <t>Person</t>
        </is>
      </c>
      <c r="B1" s="21" t="inlineStr">
        <is>
          <t>Date</t>
        </is>
      </c>
      <c r="C1" s="21" t="inlineStr">
        <is>
          <t>Start</t>
        </is>
      </c>
      <c r="D1" s="21" t="inlineStr">
        <is>
          <t>End</t>
        </is>
      </c>
      <c r="E1" s="21" t="inlineStr">
        <is>
          <t>Break (hours)</t>
        </is>
      </c>
      <c r="F1" s="21" t="inlineStr">
        <is>
          <t>Hours worked</t>
        </is>
      </c>
      <c r="G1" s="21" t="inlineStr">
        <is>
          <t>Week starting (Monday)</t>
        </is>
      </c>
      <c r="H1" s="21" t="inlineStr">
        <is>
          <t>Notes</t>
        </is>
      </c>
    </row>
    <row r="2">
      <c r="A2" s="27" t="inlineStr">
        <is>
          <t>Ana Silva</t>
        </is>
      </c>
      <c r="B2" s="26" t="n">
        <v>46433</v>
      </c>
      <c r="C2" s="47" t="n">
        <v>0.375</v>
      </c>
      <c r="D2" s="47" t="n">
        <v>0.75</v>
      </c>
      <c r="E2" s="43" t="n">
        <v>1</v>
      </c>
      <c r="F2" s="44">
        <f>IF(OR(A2="",C2="",D2=""),"",MAX(0,MOD(D2-C2,1)*24-N(E2)))</f>
        <v/>
      </c>
      <c r="G2" s="48">
        <f>IF(B2="","",B2-WEEKDAY(B2,3))</f>
        <v/>
      </c>
      <c r="H2" s="27" t="n"/>
    </row>
    <row r="3">
      <c r="A3" s="27" t="inlineStr">
        <is>
          <t>Ana Silva</t>
        </is>
      </c>
      <c r="B3" s="26" t="n">
        <v>46434</v>
      </c>
      <c r="C3" s="47" t="n">
        <v>0.375</v>
      </c>
      <c r="D3" s="47" t="n">
        <v>0.75</v>
      </c>
      <c r="E3" s="43" t="n">
        <v>1</v>
      </c>
      <c r="F3" s="44">
        <f>IF(OR(A3="",C3="",D3=""),"",MAX(0,MOD(D3-C3,1)*24-N(E3)))</f>
        <v/>
      </c>
      <c r="G3" s="48">
        <f>IF(B3="","",B3-WEEKDAY(B3,3))</f>
        <v/>
      </c>
      <c r="H3" s="27" t="n"/>
    </row>
    <row r="4">
      <c r="A4" s="27" t="inlineStr">
        <is>
          <t>Ana Silva</t>
        </is>
      </c>
      <c r="B4" s="26" t="n">
        <v>46435</v>
      </c>
      <c r="C4" s="47" t="n">
        <v>0.375</v>
      </c>
      <c r="D4" s="47" t="n">
        <v>0.75</v>
      </c>
      <c r="E4" s="43" t="n">
        <v>1</v>
      </c>
      <c r="F4" s="44">
        <f>IF(OR(A4="",C4="",D4=""),"",MAX(0,MOD(D4-C4,1)*24-N(E4)))</f>
        <v/>
      </c>
      <c r="G4" s="48">
        <f>IF(B4="","",B4-WEEKDAY(B4,3))</f>
        <v/>
      </c>
      <c r="H4" s="27" t="n"/>
    </row>
    <row r="5">
      <c r="A5" s="27" t="inlineStr">
        <is>
          <t>Ana Silva</t>
        </is>
      </c>
      <c r="B5" s="26" t="n">
        <v>46436</v>
      </c>
      <c r="C5" s="47" t="n">
        <v>0.375</v>
      </c>
      <c r="D5" s="47" t="n">
        <v>0.75</v>
      </c>
      <c r="E5" s="43" t="n">
        <v>1</v>
      </c>
      <c r="F5" s="44">
        <f>IF(OR(A5="",C5="",D5=""),"",MAX(0,MOD(D5-C5,1)*24-N(E5)))</f>
        <v/>
      </c>
      <c r="G5" s="48">
        <f>IF(B5="","",B5-WEEKDAY(B5,3))</f>
        <v/>
      </c>
      <c r="H5" s="27" t="n"/>
    </row>
    <row r="6">
      <c r="A6" s="27" t="inlineStr">
        <is>
          <t>Ana Silva</t>
        </is>
      </c>
      <c r="B6" s="26" t="n">
        <v>46437</v>
      </c>
      <c r="C6" s="47" t="n">
        <v>0.375</v>
      </c>
      <c r="D6" s="47" t="n">
        <v>0.75</v>
      </c>
      <c r="E6" s="43" t="n">
        <v>1</v>
      </c>
      <c r="F6" s="44">
        <f>IF(OR(A6="",C6="",D6=""),"",MAX(0,MOD(D6-C6,1)*24-N(E6)))</f>
        <v/>
      </c>
      <c r="G6" s="48">
        <f>IF(B6="","",B6-WEEKDAY(B6,3))</f>
        <v/>
      </c>
      <c r="H6" s="27" t="n"/>
    </row>
    <row r="7">
      <c r="A7" s="27" t="inlineStr">
        <is>
          <t>Bruno Costa</t>
        </is>
      </c>
      <c r="B7" s="26" t="n">
        <v>46433</v>
      </c>
      <c r="C7" s="47" t="n">
        <v>0.3333333333333333</v>
      </c>
      <c r="D7" s="47" t="n">
        <v>0.7083333333333334</v>
      </c>
      <c r="E7" s="43" t="n">
        <v>1</v>
      </c>
      <c r="F7" s="44">
        <f>IF(OR(A7="",C7="",D7=""),"",MAX(0,MOD(D7-C7,1)*24-N(E7)))</f>
        <v/>
      </c>
      <c r="G7" s="48">
        <f>IF(B7="","",B7-WEEKDAY(B7,3))</f>
        <v/>
      </c>
      <c r="H7" s="27" t="n"/>
    </row>
    <row r="8">
      <c r="A8" s="27" t="inlineStr">
        <is>
          <t>Bruno Costa</t>
        </is>
      </c>
      <c r="B8" s="26" t="n">
        <v>46434</v>
      </c>
      <c r="C8" s="47" t="n">
        <v>0.3333333333333333</v>
      </c>
      <c r="D8" s="47" t="n">
        <v>0.7083333333333334</v>
      </c>
      <c r="E8" s="43" t="n">
        <v>1</v>
      </c>
      <c r="F8" s="44">
        <f>IF(OR(A8="",C8="",D8=""),"",MAX(0,MOD(D8-C8,1)*24-N(E8)))</f>
        <v/>
      </c>
      <c r="G8" s="48">
        <f>IF(B8="","",B8-WEEKDAY(B8,3))</f>
        <v/>
      </c>
      <c r="H8" s="27" t="n"/>
    </row>
    <row r="9">
      <c r="A9" s="27" t="inlineStr">
        <is>
          <t>Bruno Costa</t>
        </is>
      </c>
      <c r="B9" s="26" t="n">
        <v>46435</v>
      </c>
      <c r="C9" s="47" t="n">
        <v>0.3333333333333333</v>
      </c>
      <c r="D9" s="47" t="n">
        <v>0.7083333333333334</v>
      </c>
      <c r="E9" s="43" t="n">
        <v>1</v>
      </c>
      <c r="F9" s="44">
        <f>IF(OR(A9="",C9="",D9=""),"",MAX(0,MOD(D9-C9,1)*24-N(E9)))</f>
        <v/>
      </c>
      <c r="G9" s="48">
        <f>IF(B9="","",B9-WEEKDAY(B9,3))</f>
        <v/>
      </c>
      <c r="H9" s="27" t="n"/>
    </row>
    <row r="10">
      <c r="A10" s="27" t="inlineStr">
        <is>
          <t>Bruno Costa</t>
        </is>
      </c>
      <c r="B10" s="26" t="n">
        <v>46436</v>
      </c>
      <c r="C10" s="47" t="n">
        <v>0.3333333333333333</v>
      </c>
      <c r="D10" s="47" t="n">
        <v>0.7083333333333334</v>
      </c>
      <c r="E10" s="43" t="n">
        <v>1</v>
      </c>
      <c r="F10" s="44">
        <f>IF(OR(A10="",C10="",D10=""),"",MAX(0,MOD(D10-C10,1)*24-N(E10)))</f>
        <v/>
      </c>
      <c r="G10" s="48">
        <f>IF(B10="","",B10-WEEKDAY(B10,3))</f>
        <v/>
      </c>
      <c r="H10" s="27" t="n"/>
    </row>
    <row r="11">
      <c r="A11" s="27" t="inlineStr">
        <is>
          <t>Bruno Costa</t>
        </is>
      </c>
      <c r="B11" s="26" t="n">
        <v>46437</v>
      </c>
      <c r="C11" s="47" t="n">
        <v>0.3333333333333333</v>
      </c>
      <c r="D11" s="47" t="n">
        <v>0.7083333333333334</v>
      </c>
      <c r="E11" s="43" t="n">
        <v>1</v>
      </c>
      <c r="F11" s="44">
        <f>IF(OR(A11="",C11="",D11=""),"",MAX(0,MOD(D11-C11,1)*24-N(E11)))</f>
        <v/>
      </c>
      <c r="G11" s="48">
        <f>IF(B11="","",B11-WEEKDAY(B11,3))</f>
        <v/>
      </c>
      <c r="H11" s="27" t="n"/>
    </row>
    <row r="12">
      <c r="A12" s="27" t="inlineStr">
        <is>
          <t>Carla Dias</t>
        </is>
      </c>
      <c r="B12" s="26" t="n">
        <v>46433</v>
      </c>
      <c r="C12" s="47" t="n">
        <v>0.4166666666666667</v>
      </c>
      <c r="D12" s="47" t="n">
        <v>0.6875</v>
      </c>
      <c r="E12" s="43" t="n">
        <v>0.5</v>
      </c>
      <c r="F12" s="44">
        <f>IF(OR(A12="",C12="",D12=""),"",MAX(0,MOD(D12-C12,1)*24-N(E12)))</f>
        <v/>
      </c>
      <c r="G12" s="48">
        <f>IF(B12="","",B12-WEEKDAY(B12,3))</f>
        <v/>
      </c>
      <c r="H12" s="27" t="n"/>
    </row>
    <row r="13">
      <c r="A13" s="27" t="inlineStr">
        <is>
          <t>Carla Dias</t>
        </is>
      </c>
      <c r="B13" s="26" t="n">
        <v>46434</v>
      </c>
      <c r="C13" s="47" t="n">
        <v>0.4166666666666667</v>
      </c>
      <c r="D13" s="47" t="n">
        <v>0.6875</v>
      </c>
      <c r="E13" s="43" t="n">
        <v>0.5</v>
      </c>
      <c r="F13" s="44">
        <f>IF(OR(A13="",C13="",D13=""),"",MAX(0,MOD(D13-C13,1)*24-N(E13)))</f>
        <v/>
      </c>
      <c r="G13" s="48">
        <f>IF(B13="","",B13-WEEKDAY(B13,3))</f>
        <v/>
      </c>
      <c r="H13" s="2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A2:A13" showDropDown="0" showInputMessage="0" showErrorMessage="1" allowBlank="1" errorTitle="Not in the list" error="Choose a value from the list (edit lists in Settings)." type="list">
      <formula1>=TeamList</formula1>
    </dataValidation>
    <dataValidation sqref="E2:E13" showDropDown="0" showInputMessage="0" showErrorMessage="1" allowBlank="1" error="Enter a number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2" customWidth="1" min="4" max="4"/>
    <col width="10" customWidth="1" min="5" max="5"/>
    <col width="10" customWidth="1" min="6" max="6"/>
    <col width="26" customWidth="1" min="7" max="7"/>
  </cols>
  <sheetData>
    <row r="1" ht="32" customHeight="1">
      <c r="A1" s="21" t="inlineStr">
        <is>
          <t>Person</t>
        </is>
      </c>
      <c r="B1" s="21" t="inlineStr">
        <is>
          <t>Type</t>
        </is>
      </c>
      <c r="C1" s="21" t="inlineStr">
        <is>
          <t>From</t>
        </is>
      </c>
      <c r="D1" s="21" t="inlineStr">
        <is>
          <t>To (inclusive)</t>
        </is>
      </c>
      <c r="E1" s="21" t="inlineStr">
        <is>
          <t>Working days</t>
        </is>
      </c>
      <c r="F1" s="21" t="inlineStr">
        <is>
          <t>Approved</t>
        </is>
      </c>
      <c r="G1" s="21" t="inlineStr">
        <is>
          <t>Notes</t>
        </is>
      </c>
    </row>
    <row r="2">
      <c r="A2" s="27" t="inlineStr">
        <is>
          <t>Ana Silva</t>
        </is>
      </c>
      <c r="B2" s="27" t="inlineStr">
        <is>
          <t>Holiday</t>
        </is>
      </c>
      <c r="C2" s="26" t="n">
        <v>46497</v>
      </c>
      <c r="D2" s="26" t="n">
        <v>46501</v>
      </c>
      <c r="E2" s="44">
        <f>IF(OR(A2="",C2="",D2=""),"",NETWORKDAYS(C2,D2,PublicHolidays))</f>
        <v/>
      </c>
      <c r="F2" s="27" t="inlineStr">
        <is>
          <t>Yes</t>
        </is>
      </c>
      <c r="G2" s="27" t="n"/>
    </row>
    <row r="3">
      <c r="A3" s="27" t="inlineStr">
        <is>
          <t>Bruno Costa</t>
        </is>
      </c>
      <c r="B3" s="27" t="inlineStr">
        <is>
          <t>Sick leave</t>
        </is>
      </c>
      <c r="C3" s="26" t="n">
        <v>46426</v>
      </c>
      <c r="D3" s="26" t="n">
        <v>46427</v>
      </c>
      <c r="E3" s="44">
        <f>IF(OR(A3="",C3="",D3=""),"",NETWORKDAYS(C3,D3,PublicHolidays))</f>
        <v/>
      </c>
      <c r="F3" s="27" t="inlineStr">
        <is>
          <t>Yes</t>
        </is>
      </c>
      <c r="G3" s="27" t="n"/>
    </row>
    <row r="4">
      <c r="A4" s="27" t="inlineStr">
        <is>
          <t>Carla Dias</t>
        </is>
      </c>
      <c r="B4" s="27" t="inlineStr">
        <is>
          <t>Holiday</t>
        </is>
      </c>
      <c r="C4" s="26" t="n">
        <v>46601</v>
      </c>
      <c r="D4" s="26" t="n">
        <v>46612</v>
      </c>
      <c r="E4" s="44">
        <f>IF(OR(A4="",C4="",D4=""),"",NETWORKDAYS(C4,D4,PublicHolidays))</f>
        <v/>
      </c>
      <c r="F4" s="27" t="inlineStr">
        <is>
          <t>No</t>
        </is>
      </c>
      <c r="G4" s="27" t="n"/>
    </row>
    <row r="5">
      <c r="A5" s="27" t="inlineStr">
        <is>
          <t>Bruno Costa</t>
        </is>
      </c>
      <c r="B5" s="27" t="inlineStr">
        <is>
          <t>Holiday</t>
        </is>
      </c>
      <c r="C5" s="26" t="n">
        <v>46594</v>
      </c>
      <c r="D5" s="26" t="n">
        <v>46605</v>
      </c>
      <c r="E5" s="44">
        <f>IF(OR(A5="",C5="",D5=""),"",NETWORKDAYS(C5,D5,PublicHolidays))</f>
        <v/>
      </c>
      <c r="F5" s="27" t="inlineStr">
        <is>
          <t>Yes</t>
        </is>
      </c>
      <c r="G5" s="27" t="n"/>
    </row>
    <row r="6">
      <c r="A6" s="27" t="n"/>
      <c r="B6" s="27" t="n"/>
      <c r="C6" s="26" t="n"/>
      <c r="D6" s="26" t="n"/>
      <c r="E6" s="44">
        <f>IF(OR(A6="",C6="",D6=""),"",NETWORKDAYS(C6,D6,PublicHolidays))</f>
        <v/>
      </c>
      <c r="F6" s="27" t="n"/>
      <c r="G6" s="27" t="n"/>
    </row>
    <row r="7">
      <c r="A7" s="27" t="n"/>
      <c r="B7" s="27" t="n"/>
      <c r="C7" s="26" t="n"/>
      <c r="D7" s="26" t="n"/>
      <c r="E7" s="44">
        <f>IF(OR(A7="",C7="",D7=""),"",NETWORKDAYS(C7,D7,PublicHolidays))</f>
        <v/>
      </c>
      <c r="F7" s="27" t="n"/>
      <c r="G7" s="27" t="n"/>
    </row>
    <row r="8">
      <c r="A8" s="27" t="n"/>
      <c r="B8" s="27" t="n"/>
      <c r="C8" s="26" t="n"/>
      <c r="D8" s="26" t="n"/>
      <c r="E8" s="44">
        <f>IF(OR(A8="",C8="",D8=""),"",NETWORKDAYS(C8,D8,PublicHolidays))</f>
        <v/>
      </c>
      <c r="F8" s="27" t="n"/>
      <c r="G8" s="27" t="n"/>
    </row>
    <row r="9">
      <c r="A9" s="27" t="n"/>
      <c r="B9" s="27" t="n"/>
      <c r="C9" s="26" t="n"/>
      <c r="D9" s="26" t="n"/>
      <c r="E9" s="44">
        <f>IF(OR(A9="",C9="",D9=""),"",NETWORKDAYS(C9,D9,PublicHolidays))</f>
        <v/>
      </c>
      <c r="F9" s="27" t="n"/>
      <c r="G9" s="27" t="n"/>
    </row>
    <row r="10">
      <c r="A10" s="27" t="n"/>
      <c r="B10" s="27" t="n"/>
      <c r="C10" s="26" t="n"/>
      <c r="D10" s="26" t="n"/>
      <c r="E10" s="44">
        <f>IF(OR(A10="",C10="",D10=""),"",NETWORKDAYS(C10,D10,PublicHolidays))</f>
        <v/>
      </c>
      <c r="F10" s="27" t="n"/>
      <c r="G10" s="27" t="n"/>
    </row>
    <row r="11">
      <c r="A11" s="27" t="n"/>
      <c r="B11" s="27" t="n"/>
      <c r="C11" s="26" t="n"/>
      <c r="D11" s="26" t="n"/>
      <c r="E11" s="44">
        <f>IF(OR(A11="",C11="",D11=""),"",NETWORKDAYS(C11,D11,PublicHolidays))</f>
        <v/>
      </c>
      <c r="F11" s="27" t="n"/>
      <c r="G11" s="27" t="n"/>
    </row>
    <row r="12">
      <c r="A12" s="27" t="n"/>
      <c r="B12" s="27" t="n"/>
      <c r="C12" s="26" t="n"/>
      <c r="D12" s="26" t="n"/>
      <c r="E12" s="44">
        <f>IF(OR(A12="",C12="",D12=""),"",NETWORKDAYS(C12,D12,PublicHolidays))</f>
        <v/>
      </c>
      <c r="F12" s="27" t="n"/>
      <c r="G12" s="27" t="n"/>
    </row>
    <row r="13">
      <c r="A13" s="27" t="n"/>
      <c r="B13" s="27" t="n"/>
      <c r="C13" s="26" t="n"/>
      <c r="D13" s="26" t="n"/>
      <c r="E13" s="44">
        <f>IF(OR(A13="",C13="",D13=""),"",NETWORKDAYS(C13,D13,PublicHolidays))</f>
        <v/>
      </c>
      <c r="F13" s="27" t="n"/>
      <c r="G13" s="2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3">
    <dataValidation sqref="A2:A13" showDropDown="0" showInputMessage="0" showErrorMessage="1" allowBlank="1" errorTitle="Not in the list" error="Choose a value from the list (edit lists in Settings)." type="list">
      <formula1>=TeamList</formula1>
    </dataValidation>
    <dataValidation sqref="B2:B13" showDropDown="0" showInputMessage="0" showErrorMessage="1" allowBlank="1" errorTitle="Not in the list" error="Choose a value from the list (edit lists in Settings)." type="list">
      <formula1>=AbsList</formula1>
    </dataValidation>
    <dataValidation sqref="F2:F13" showDropDown="0" showInputMessage="0" showErrorMessage="1" allowBlank="1" errorTitle="Not in the list" error="Choose a value from the list (edit lists in Settings)." type="list">
      <formula1>=YesNo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36"/>
  <sheetViews>
    <sheetView showGridLines="0" tabSelected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Weekly rota</t>
        </is>
      </c>
    </row>
    <row r="2">
      <c r="A2" s="3" t="inlineStr">
        <is>
          <t>Change the yellow date to any Monday. Shows hours per person per day from the Shifts sheet; "Off" means an approved absence.</t>
        </is>
      </c>
    </row>
    <row r="3">
      <c r="A3" s="32" t="inlineStr">
        <is>
          <t>Week starting</t>
        </is>
      </c>
      <c r="B3" s="49" t="n">
        <v>46433</v>
      </c>
    </row>
    <row r="5">
      <c r="A5" s="21" t="inlineStr">
        <is>
          <t>Person</t>
        </is>
      </c>
      <c r="B5" s="21" t="inlineStr">
        <is>
          <t>Mon</t>
        </is>
      </c>
      <c r="C5" s="21" t="inlineStr">
        <is>
          <t>Tue</t>
        </is>
      </c>
      <c r="D5" s="21" t="inlineStr">
        <is>
          <t>Wed</t>
        </is>
      </c>
      <c r="E5" s="21" t="inlineStr">
        <is>
          <t>Thu</t>
        </is>
      </c>
      <c r="F5" s="21" t="inlineStr">
        <is>
          <t>Fri</t>
        </is>
      </c>
      <c r="G5" s="21" t="inlineStr">
        <is>
          <t>Sat</t>
        </is>
      </c>
      <c r="H5" s="21" t="inlineStr">
        <is>
          <t>Sun</t>
        </is>
      </c>
      <c r="I5" s="21" t="inlineStr">
        <is>
          <t>Total hours</t>
        </is>
      </c>
      <c r="J5" s="21" t="inlineStr">
        <is>
          <t>Contracted</t>
        </is>
      </c>
      <c r="K5" s="21" t="inlineStr">
        <is>
          <t>Difference</t>
        </is>
      </c>
    </row>
    <row r="6">
      <c r="B6" s="50">
        <f>WeekStart+0</f>
        <v/>
      </c>
      <c r="C6" s="50">
        <f>WeekStart+1</f>
        <v/>
      </c>
      <c r="D6" s="50">
        <f>WeekStart+2</f>
        <v/>
      </c>
      <c r="E6" s="50">
        <f>WeekStart+3</f>
        <v/>
      </c>
      <c r="F6" s="50">
        <f>WeekStart+4</f>
        <v/>
      </c>
      <c r="G6" s="50">
        <f>WeekStart+5</f>
        <v/>
      </c>
      <c r="H6" s="50">
        <f>WeekStart+6</f>
        <v/>
      </c>
    </row>
    <row r="7">
      <c r="A7" s="51">
        <f>IF(INDEX(TeamList,1)="","",INDEX(TeamList,1))</f>
        <v/>
      </c>
      <c r="B7" s="46">
        <f>IF($A7="","",IF(COUNTIFS('Absences'!$A$2:$A$13,$A7,'Absences'!$C$2:$C$13,"&lt;="&amp;B$6,'Absences'!$D$2:$D$13,"&gt;="&amp;B$6,'Absences'!$F$2:$F$13,"Yes")&gt;0,"Off",IF(SUMIFS('Shifts'!$F$2:$F$13,'Shifts'!$A$2:$A$13,$A7,'Shifts'!$B$2:$B$13,B$6)=0,"",SUMIFS('Shifts'!$F$2:$F$13,'Shifts'!$A$2:$A$13,$A7,'Shifts'!$B$2:$B$13,B$6))))</f>
        <v/>
      </c>
      <c r="C7" s="46">
        <f>IF($A7="","",IF(COUNTIFS('Absences'!$A$2:$A$13,$A7,'Absences'!$C$2:$C$13,"&lt;="&amp;C$6,'Absences'!$D$2:$D$13,"&gt;="&amp;C$6,'Absences'!$F$2:$F$13,"Yes")&gt;0,"Off",IF(SUMIFS('Shifts'!$F$2:$F$13,'Shifts'!$A$2:$A$13,$A7,'Shifts'!$B$2:$B$13,C$6)=0,"",SUMIFS('Shifts'!$F$2:$F$13,'Shifts'!$A$2:$A$13,$A7,'Shifts'!$B$2:$B$13,C$6))))</f>
        <v/>
      </c>
      <c r="D7" s="46">
        <f>IF($A7="","",IF(COUNTIFS('Absences'!$A$2:$A$13,$A7,'Absences'!$C$2:$C$13,"&lt;="&amp;D$6,'Absences'!$D$2:$D$13,"&gt;="&amp;D$6,'Absences'!$F$2:$F$13,"Yes")&gt;0,"Off",IF(SUMIFS('Shifts'!$F$2:$F$13,'Shifts'!$A$2:$A$13,$A7,'Shifts'!$B$2:$B$13,D$6)=0,"",SUMIFS('Shifts'!$F$2:$F$13,'Shifts'!$A$2:$A$13,$A7,'Shifts'!$B$2:$B$13,D$6))))</f>
        <v/>
      </c>
      <c r="E7" s="46">
        <f>IF($A7="","",IF(COUNTIFS('Absences'!$A$2:$A$13,$A7,'Absences'!$C$2:$C$13,"&lt;="&amp;E$6,'Absences'!$D$2:$D$13,"&gt;="&amp;E$6,'Absences'!$F$2:$F$13,"Yes")&gt;0,"Off",IF(SUMIFS('Shifts'!$F$2:$F$13,'Shifts'!$A$2:$A$13,$A7,'Shifts'!$B$2:$B$13,E$6)=0,"",SUMIFS('Shifts'!$F$2:$F$13,'Shifts'!$A$2:$A$13,$A7,'Shifts'!$B$2:$B$13,E$6))))</f>
        <v/>
      </c>
      <c r="F7" s="46">
        <f>IF($A7="","",IF(COUNTIFS('Absences'!$A$2:$A$13,$A7,'Absences'!$C$2:$C$13,"&lt;="&amp;F$6,'Absences'!$D$2:$D$13,"&gt;="&amp;F$6,'Absences'!$F$2:$F$13,"Yes")&gt;0,"Off",IF(SUMIFS('Shifts'!$F$2:$F$13,'Shifts'!$A$2:$A$13,$A7,'Shifts'!$B$2:$B$13,F$6)=0,"",SUMIFS('Shifts'!$F$2:$F$13,'Shifts'!$A$2:$A$13,$A7,'Shifts'!$B$2:$B$13,F$6))))</f>
        <v/>
      </c>
      <c r="G7" s="46">
        <f>IF($A7="","",IF(COUNTIFS('Absences'!$A$2:$A$13,$A7,'Absences'!$C$2:$C$13,"&lt;="&amp;G$6,'Absences'!$D$2:$D$13,"&gt;="&amp;G$6,'Absences'!$F$2:$F$13,"Yes")&gt;0,"Off",IF(SUMIFS('Shifts'!$F$2:$F$13,'Shifts'!$A$2:$A$13,$A7,'Shifts'!$B$2:$B$13,G$6)=0,"",SUMIFS('Shifts'!$F$2:$F$13,'Shifts'!$A$2:$A$13,$A7,'Shifts'!$B$2:$B$13,G$6))))</f>
        <v/>
      </c>
      <c r="H7" s="46">
        <f>IF($A7="","",IF(COUNTIFS('Absences'!$A$2:$A$13,$A7,'Absences'!$C$2:$C$13,"&lt;="&amp;H$6,'Absences'!$D$2:$D$13,"&gt;="&amp;H$6,'Absences'!$F$2:$F$13,"Yes")&gt;0,"Off",IF(SUMIFS('Shifts'!$F$2:$F$13,'Shifts'!$A$2:$A$13,$A7,'Shifts'!$B$2:$B$13,H$6)=0,"",SUMIFS('Shifts'!$F$2:$F$13,'Shifts'!$A$2:$A$13,$A7,'Shifts'!$B$2:$B$13,H$6))))</f>
        <v/>
      </c>
      <c r="I7" s="52">
        <f>IF($A7="","",SUM(B7:H7))</f>
        <v/>
      </c>
      <c r="J7" s="46">
        <f>IF($A7="","",N(INDEX(TeamHours,MATCH($A7,TeamList,0))))</f>
        <v/>
      </c>
      <c r="K7" s="46">
        <f>IF($A7="","",I7-J7)</f>
        <v/>
      </c>
    </row>
    <row r="8">
      <c r="A8" s="51">
        <f>IF(INDEX(TeamList,2)="","",INDEX(TeamList,2))</f>
        <v/>
      </c>
      <c r="B8" s="46">
        <f>IF($A8="","",IF(COUNTIFS('Absences'!$A$2:$A$13,$A8,'Absences'!$C$2:$C$13,"&lt;="&amp;B$6,'Absences'!$D$2:$D$13,"&gt;="&amp;B$6,'Absences'!$F$2:$F$13,"Yes")&gt;0,"Off",IF(SUMIFS('Shifts'!$F$2:$F$13,'Shifts'!$A$2:$A$13,$A8,'Shifts'!$B$2:$B$13,B$6)=0,"",SUMIFS('Shifts'!$F$2:$F$13,'Shifts'!$A$2:$A$13,$A8,'Shifts'!$B$2:$B$13,B$6))))</f>
        <v/>
      </c>
      <c r="C8" s="46">
        <f>IF($A8="","",IF(COUNTIFS('Absences'!$A$2:$A$13,$A8,'Absences'!$C$2:$C$13,"&lt;="&amp;C$6,'Absences'!$D$2:$D$13,"&gt;="&amp;C$6,'Absences'!$F$2:$F$13,"Yes")&gt;0,"Off",IF(SUMIFS('Shifts'!$F$2:$F$13,'Shifts'!$A$2:$A$13,$A8,'Shifts'!$B$2:$B$13,C$6)=0,"",SUMIFS('Shifts'!$F$2:$F$13,'Shifts'!$A$2:$A$13,$A8,'Shifts'!$B$2:$B$13,C$6))))</f>
        <v/>
      </c>
      <c r="D8" s="46">
        <f>IF($A8="","",IF(COUNTIFS('Absences'!$A$2:$A$13,$A8,'Absences'!$C$2:$C$13,"&lt;="&amp;D$6,'Absences'!$D$2:$D$13,"&gt;="&amp;D$6,'Absences'!$F$2:$F$13,"Yes")&gt;0,"Off",IF(SUMIFS('Shifts'!$F$2:$F$13,'Shifts'!$A$2:$A$13,$A8,'Shifts'!$B$2:$B$13,D$6)=0,"",SUMIFS('Shifts'!$F$2:$F$13,'Shifts'!$A$2:$A$13,$A8,'Shifts'!$B$2:$B$13,D$6))))</f>
        <v/>
      </c>
      <c r="E8" s="46">
        <f>IF($A8="","",IF(COUNTIFS('Absences'!$A$2:$A$13,$A8,'Absences'!$C$2:$C$13,"&lt;="&amp;E$6,'Absences'!$D$2:$D$13,"&gt;="&amp;E$6,'Absences'!$F$2:$F$13,"Yes")&gt;0,"Off",IF(SUMIFS('Shifts'!$F$2:$F$13,'Shifts'!$A$2:$A$13,$A8,'Shifts'!$B$2:$B$13,E$6)=0,"",SUMIFS('Shifts'!$F$2:$F$13,'Shifts'!$A$2:$A$13,$A8,'Shifts'!$B$2:$B$13,E$6))))</f>
        <v/>
      </c>
      <c r="F8" s="46">
        <f>IF($A8="","",IF(COUNTIFS('Absences'!$A$2:$A$13,$A8,'Absences'!$C$2:$C$13,"&lt;="&amp;F$6,'Absences'!$D$2:$D$13,"&gt;="&amp;F$6,'Absences'!$F$2:$F$13,"Yes")&gt;0,"Off",IF(SUMIFS('Shifts'!$F$2:$F$13,'Shifts'!$A$2:$A$13,$A8,'Shifts'!$B$2:$B$13,F$6)=0,"",SUMIFS('Shifts'!$F$2:$F$13,'Shifts'!$A$2:$A$13,$A8,'Shifts'!$B$2:$B$13,F$6))))</f>
        <v/>
      </c>
      <c r="G8" s="46">
        <f>IF($A8="","",IF(COUNTIFS('Absences'!$A$2:$A$13,$A8,'Absences'!$C$2:$C$13,"&lt;="&amp;G$6,'Absences'!$D$2:$D$13,"&gt;="&amp;G$6,'Absences'!$F$2:$F$13,"Yes")&gt;0,"Off",IF(SUMIFS('Shifts'!$F$2:$F$13,'Shifts'!$A$2:$A$13,$A8,'Shifts'!$B$2:$B$13,G$6)=0,"",SUMIFS('Shifts'!$F$2:$F$13,'Shifts'!$A$2:$A$13,$A8,'Shifts'!$B$2:$B$13,G$6))))</f>
        <v/>
      </c>
      <c r="H8" s="46">
        <f>IF($A8="","",IF(COUNTIFS('Absences'!$A$2:$A$13,$A8,'Absences'!$C$2:$C$13,"&lt;="&amp;H$6,'Absences'!$D$2:$D$13,"&gt;="&amp;H$6,'Absences'!$F$2:$F$13,"Yes")&gt;0,"Off",IF(SUMIFS('Shifts'!$F$2:$F$13,'Shifts'!$A$2:$A$13,$A8,'Shifts'!$B$2:$B$13,H$6)=0,"",SUMIFS('Shifts'!$F$2:$F$13,'Shifts'!$A$2:$A$13,$A8,'Shifts'!$B$2:$B$13,H$6))))</f>
        <v/>
      </c>
      <c r="I8" s="52">
        <f>IF($A8="","",SUM(B8:H8))</f>
        <v/>
      </c>
      <c r="J8" s="46">
        <f>IF($A8="","",N(INDEX(TeamHours,MATCH($A8,TeamList,0))))</f>
        <v/>
      </c>
      <c r="K8" s="46">
        <f>IF($A8="","",I8-J8)</f>
        <v/>
      </c>
    </row>
    <row r="9">
      <c r="A9" s="51">
        <f>IF(INDEX(TeamList,3)="","",INDEX(TeamList,3))</f>
        <v/>
      </c>
      <c r="B9" s="46">
        <f>IF($A9="","",IF(COUNTIFS('Absences'!$A$2:$A$13,$A9,'Absences'!$C$2:$C$13,"&lt;="&amp;B$6,'Absences'!$D$2:$D$13,"&gt;="&amp;B$6,'Absences'!$F$2:$F$13,"Yes")&gt;0,"Off",IF(SUMIFS('Shifts'!$F$2:$F$13,'Shifts'!$A$2:$A$13,$A9,'Shifts'!$B$2:$B$13,B$6)=0,"",SUMIFS('Shifts'!$F$2:$F$13,'Shifts'!$A$2:$A$13,$A9,'Shifts'!$B$2:$B$13,B$6))))</f>
        <v/>
      </c>
      <c r="C9" s="46">
        <f>IF($A9="","",IF(COUNTIFS('Absences'!$A$2:$A$13,$A9,'Absences'!$C$2:$C$13,"&lt;="&amp;C$6,'Absences'!$D$2:$D$13,"&gt;="&amp;C$6,'Absences'!$F$2:$F$13,"Yes")&gt;0,"Off",IF(SUMIFS('Shifts'!$F$2:$F$13,'Shifts'!$A$2:$A$13,$A9,'Shifts'!$B$2:$B$13,C$6)=0,"",SUMIFS('Shifts'!$F$2:$F$13,'Shifts'!$A$2:$A$13,$A9,'Shifts'!$B$2:$B$13,C$6))))</f>
        <v/>
      </c>
      <c r="D9" s="46">
        <f>IF($A9="","",IF(COUNTIFS('Absences'!$A$2:$A$13,$A9,'Absences'!$C$2:$C$13,"&lt;="&amp;D$6,'Absences'!$D$2:$D$13,"&gt;="&amp;D$6,'Absences'!$F$2:$F$13,"Yes")&gt;0,"Off",IF(SUMIFS('Shifts'!$F$2:$F$13,'Shifts'!$A$2:$A$13,$A9,'Shifts'!$B$2:$B$13,D$6)=0,"",SUMIFS('Shifts'!$F$2:$F$13,'Shifts'!$A$2:$A$13,$A9,'Shifts'!$B$2:$B$13,D$6))))</f>
        <v/>
      </c>
      <c r="E9" s="46">
        <f>IF($A9="","",IF(COUNTIFS('Absences'!$A$2:$A$13,$A9,'Absences'!$C$2:$C$13,"&lt;="&amp;E$6,'Absences'!$D$2:$D$13,"&gt;="&amp;E$6,'Absences'!$F$2:$F$13,"Yes")&gt;0,"Off",IF(SUMIFS('Shifts'!$F$2:$F$13,'Shifts'!$A$2:$A$13,$A9,'Shifts'!$B$2:$B$13,E$6)=0,"",SUMIFS('Shifts'!$F$2:$F$13,'Shifts'!$A$2:$A$13,$A9,'Shifts'!$B$2:$B$13,E$6))))</f>
        <v/>
      </c>
      <c r="F9" s="46">
        <f>IF($A9="","",IF(COUNTIFS('Absences'!$A$2:$A$13,$A9,'Absences'!$C$2:$C$13,"&lt;="&amp;F$6,'Absences'!$D$2:$D$13,"&gt;="&amp;F$6,'Absences'!$F$2:$F$13,"Yes")&gt;0,"Off",IF(SUMIFS('Shifts'!$F$2:$F$13,'Shifts'!$A$2:$A$13,$A9,'Shifts'!$B$2:$B$13,F$6)=0,"",SUMIFS('Shifts'!$F$2:$F$13,'Shifts'!$A$2:$A$13,$A9,'Shifts'!$B$2:$B$13,F$6))))</f>
        <v/>
      </c>
      <c r="G9" s="46">
        <f>IF($A9="","",IF(COUNTIFS('Absences'!$A$2:$A$13,$A9,'Absences'!$C$2:$C$13,"&lt;="&amp;G$6,'Absences'!$D$2:$D$13,"&gt;="&amp;G$6,'Absences'!$F$2:$F$13,"Yes")&gt;0,"Off",IF(SUMIFS('Shifts'!$F$2:$F$13,'Shifts'!$A$2:$A$13,$A9,'Shifts'!$B$2:$B$13,G$6)=0,"",SUMIFS('Shifts'!$F$2:$F$13,'Shifts'!$A$2:$A$13,$A9,'Shifts'!$B$2:$B$13,G$6))))</f>
        <v/>
      </c>
      <c r="H9" s="46">
        <f>IF($A9="","",IF(COUNTIFS('Absences'!$A$2:$A$13,$A9,'Absences'!$C$2:$C$13,"&lt;="&amp;H$6,'Absences'!$D$2:$D$13,"&gt;="&amp;H$6,'Absences'!$F$2:$F$13,"Yes")&gt;0,"Off",IF(SUMIFS('Shifts'!$F$2:$F$13,'Shifts'!$A$2:$A$13,$A9,'Shifts'!$B$2:$B$13,H$6)=0,"",SUMIFS('Shifts'!$F$2:$F$13,'Shifts'!$A$2:$A$13,$A9,'Shifts'!$B$2:$B$13,H$6))))</f>
        <v/>
      </c>
      <c r="I9" s="52">
        <f>IF($A9="","",SUM(B9:H9))</f>
        <v/>
      </c>
      <c r="J9" s="46">
        <f>IF($A9="","",N(INDEX(TeamHours,MATCH($A9,TeamList,0))))</f>
        <v/>
      </c>
      <c r="K9" s="46">
        <f>IF($A9="","",I9-J9)</f>
        <v/>
      </c>
    </row>
    <row r="10">
      <c r="A10" s="51">
        <f>IF(INDEX(TeamList,4)="","",INDEX(TeamList,4))</f>
        <v/>
      </c>
      <c r="B10" s="46">
        <f>IF($A10="","",IF(COUNTIFS('Absences'!$A$2:$A$13,$A10,'Absences'!$C$2:$C$13,"&lt;="&amp;B$6,'Absences'!$D$2:$D$13,"&gt;="&amp;B$6,'Absences'!$F$2:$F$13,"Yes")&gt;0,"Off",IF(SUMIFS('Shifts'!$F$2:$F$13,'Shifts'!$A$2:$A$13,$A10,'Shifts'!$B$2:$B$13,B$6)=0,"",SUMIFS('Shifts'!$F$2:$F$13,'Shifts'!$A$2:$A$13,$A10,'Shifts'!$B$2:$B$13,B$6))))</f>
        <v/>
      </c>
      <c r="C10" s="46">
        <f>IF($A10="","",IF(COUNTIFS('Absences'!$A$2:$A$13,$A10,'Absences'!$C$2:$C$13,"&lt;="&amp;C$6,'Absences'!$D$2:$D$13,"&gt;="&amp;C$6,'Absences'!$F$2:$F$13,"Yes")&gt;0,"Off",IF(SUMIFS('Shifts'!$F$2:$F$13,'Shifts'!$A$2:$A$13,$A10,'Shifts'!$B$2:$B$13,C$6)=0,"",SUMIFS('Shifts'!$F$2:$F$13,'Shifts'!$A$2:$A$13,$A10,'Shifts'!$B$2:$B$13,C$6))))</f>
        <v/>
      </c>
      <c r="D10" s="46">
        <f>IF($A10="","",IF(COUNTIFS('Absences'!$A$2:$A$13,$A10,'Absences'!$C$2:$C$13,"&lt;="&amp;D$6,'Absences'!$D$2:$D$13,"&gt;="&amp;D$6,'Absences'!$F$2:$F$13,"Yes")&gt;0,"Off",IF(SUMIFS('Shifts'!$F$2:$F$13,'Shifts'!$A$2:$A$13,$A10,'Shifts'!$B$2:$B$13,D$6)=0,"",SUMIFS('Shifts'!$F$2:$F$13,'Shifts'!$A$2:$A$13,$A10,'Shifts'!$B$2:$B$13,D$6))))</f>
        <v/>
      </c>
      <c r="E10" s="46">
        <f>IF($A10="","",IF(COUNTIFS('Absences'!$A$2:$A$13,$A10,'Absences'!$C$2:$C$13,"&lt;="&amp;E$6,'Absences'!$D$2:$D$13,"&gt;="&amp;E$6,'Absences'!$F$2:$F$13,"Yes")&gt;0,"Off",IF(SUMIFS('Shifts'!$F$2:$F$13,'Shifts'!$A$2:$A$13,$A10,'Shifts'!$B$2:$B$13,E$6)=0,"",SUMIFS('Shifts'!$F$2:$F$13,'Shifts'!$A$2:$A$13,$A10,'Shifts'!$B$2:$B$13,E$6))))</f>
        <v/>
      </c>
      <c r="F10" s="46">
        <f>IF($A10="","",IF(COUNTIFS('Absences'!$A$2:$A$13,$A10,'Absences'!$C$2:$C$13,"&lt;="&amp;F$6,'Absences'!$D$2:$D$13,"&gt;="&amp;F$6,'Absences'!$F$2:$F$13,"Yes")&gt;0,"Off",IF(SUMIFS('Shifts'!$F$2:$F$13,'Shifts'!$A$2:$A$13,$A10,'Shifts'!$B$2:$B$13,F$6)=0,"",SUMIFS('Shifts'!$F$2:$F$13,'Shifts'!$A$2:$A$13,$A10,'Shifts'!$B$2:$B$13,F$6))))</f>
        <v/>
      </c>
      <c r="G10" s="46">
        <f>IF($A10="","",IF(COUNTIFS('Absences'!$A$2:$A$13,$A10,'Absences'!$C$2:$C$13,"&lt;="&amp;G$6,'Absences'!$D$2:$D$13,"&gt;="&amp;G$6,'Absences'!$F$2:$F$13,"Yes")&gt;0,"Off",IF(SUMIFS('Shifts'!$F$2:$F$13,'Shifts'!$A$2:$A$13,$A10,'Shifts'!$B$2:$B$13,G$6)=0,"",SUMIFS('Shifts'!$F$2:$F$13,'Shifts'!$A$2:$A$13,$A10,'Shifts'!$B$2:$B$13,G$6))))</f>
        <v/>
      </c>
      <c r="H10" s="46">
        <f>IF($A10="","",IF(COUNTIFS('Absences'!$A$2:$A$13,$A10,'Absences'!$C$2:$C$13,"&lt;="&amp;H$6,'Absences'!$D$2:$D$13,"&gt;="&amp;H$6,'Absences'!$F$2:$F$13,"Yes")&gt;0,"Off",IF(SUMIFS('Shifts'!$F$2:$F$13,'Shifts'!$A$2:$A$13,$A10,'Shifts'!$B$2:$B$13,H$6)=0,"",SUMIFS('Shifts'!$F$2:$F$13,'Shifts'!$A$2:$A$13,$A10,'Shifts'!$B$2:$B$13,H$6))))</f>
        <v/>
      </c>
      <c r="I10" s="52">
        <f>IF($A10="","",SUM(B10:H10))</f>
        <v/>
      </c>
      <c r="J10" s="46">
        <f>IF($A10="","",N(INDEX(TeamHours,MATCH($A10,TeamList,0))))</f>
        <v/>
      </c>
      <c r="K10" s="46">
        <f>IF($A10="","",I10-J10)</f>
        <v/>
      </c>
    </row>
    <row r="11">
      <c r="A11" s="51">
        <f>IF(INDEX(TeamList,5)="","",INDEX(TeamList,5))</f>
        <v/>
      </c>
      <c r="B11" s="46">
        <f>IF($A11="","",IF(COUNTIFS('Absences'!$A$2:$A$13,$A11,'Absences'!$C$2:$C$13,"&lt;="&amp;B$6,'Absences'!$D$2:$D$13,"&gt;="&amp;B$6,'Absences'!$F$2:$F$13,"Yes")&gt;0,"Off",IF(SUMIFS('Shifts'!$F$2:$F$13,'Shifts'!$A$2:$A$13,$A11,'Shifts'!$B$2:$B$13,B$6)=0,"",SUMIFS('Shifts'!$F$2:$F$13,'Shifts'!$A$2:$A$13,$A11,'Shifts'!$B$2:$B$13,B$6))))</f>
        <v/>
      </c>
      <c r="C11" s="46">
        <f>IF($A11="","",IF(COUNTIFS('Absences'!$A$2:$A$13,$A11,'Absences'!$C$2:$C$13,"&lt;="&amp;C$6,'Absences'!$D$2:$D$13,"&gt;="&amp;C$6,'Absences'!$F$2:$F$13,"Yes")&gt;0,"Off",IF(SUMIFS('Shifts'!$F$2:$F$13,'Shifts'!$A$2:$A$13,$A11,'Shifts'!$B$2:$B$13,C$6)=0,"",SUMIFS('Shifts'!$F$2:$F$13,'Shifts'!$A$2:$A$13,$A11,'Shifts'!$B$2:$B$13,C$6))))</f>
        <v/>
      </c>
      <c r="D11" s="46">
        <f>IF($A11="","",IF(COUNTIFS('Absences'!$A$2:$A$13,$A11,'Absences'!$C$2:$C$13,"&lt;="&amp;D$6,'Absences'!$D$2:$D$13,"&gt;="&amp;D$6,'Absences'!$F$2:$F$13,"Yes")&gt;0,"Off",IF(SUMIFS('Shifts'!$F$2:$F$13,'Shifts'!$A$2:$A$13,$A11,'Shifts'!$B$2:$B$13,D$6)=0,"",SUMIFS('Shifts'!$F$2:$F$13,'Shifts'!$A$2:$A$13,$A11,'Shifts'!$B$2:$B$13,D$6))))</f>
        <v/>
      </c>
      <c r="E11" s="46">
        <f>IF($A11="","",IF(COUNTIFS('Absences'!$A$2:$A$13,$A11,'Absences'!$C$2:$C$13,"&lt;="&amp;E$6,'Absences'!$D$2:$D$13,"&gt;="&amp;E$6,'Absences'!$F$2:$F$13,"Yes")&gt;0,"Off",IF(SUMIFS('Shifts'!$F$2:$F$13,'Shifts'!$A$2:$A$13,$A11,'Shifts'!$B$2:$B$13,E$6)=0,"",SUMIFS('Shifts'!$F$2:$F$13,'Shifts'!$A$2:$A$13,$A11,'Shifts'!$B$2:$B$13,E$6))))</f>
        <v/>
      </c>
      <c r="F11" s="46">
        <f>IF($A11="","",IF(COUNTIFS('Absences'!$A$2:$A$13,$A11,'Absences'!$C$2:$C$13,"&lt;="&amp;F$6,'Absences'!$D$2:$D$13,"&gt;="&amp;F$6,'Absences'!$F$2:$F$13,"Yes")&gt;0,"Off",IF(SUMIFS('Shifts'!$F$2:$F$13,'Shifts'!$A$2:$A$13,$A11,'Shifts'!$B$2:$B$13,F$6)=0,"",SUMIFS('Shifts'!$F$2:$F$13,'Shifts'!$A$2:$A$13,$A11,'Shifts'!$B$2:$B$13,F$6))))</f>
        <v/>
      </c>
      <c r="G11" s="46">
        <f>IF($A11="","",IF(COUNTIFS('Absences'!$A$2:$A$13,$A11,'Absences'!$C$2:$C$13,"&lt;="&amp;G$6,'Absences'!$D$2:$D$13,"&gt;="&amp;G$6,'Absences'!$F$2:$F$13,"Yes")&gt;0,"Off",IF(SUMIFS('Shifts'!$F$2:$F$13,'Shifts'!$A$2:$A$13,$A11,'Shifts'!$B$2:$B$13,G$6)=0,"",SUMIFS('Shifts'!$F$2:$F$13,'Shifts'!$A$2:$A$13,$A11,'Shifts'!$B$2:$B$13,G$6))))</f>
        <v/>
      </c>
      <c r="H11" s="46">
        <f>IF($A11="","",IF(COUNTIFS('Absences'!$A$2:$A$13,$A11,'Absences'!$C$2:$C$13,"&lt;="&amp;H$6,'Absences'!$D$2:$D$13,"&gt;="&amp;H$6,'Absences'!$F$2:$F$13,"Yes")&gt;0,"Off",IF(SUMIFS('Shifts'!$F$2:$F$13,'Shifts'!$A$2:$A$13,$A11,'Shifts'!$B$2:$B$13,H$6)=0,"",SUMIFS('Shifts'!$F$2:$F$13,'Shifts'!$A$2:$A$13,$A11,'Shifts'!$B$2:$B$13,H$6))))</f>
        <v/>
      </c>
      <c r="I11" s="52">
        <f>IF($A11="","",SUM(B11:H11))</f>
        <v/>
      </c>
      <c r="J11" s="46">
        <f>IF($A11="","",N(INDEX(TeamHours,MATCH($A11,TeamList,0))))</f>
        <v/>
      </c>
      <c r="K11" s="46">
        <f>IF($A11="","",I11-J11)</f>
        <v/>
      </c>
    </row>
    <row r="12">
      <c r="A12" s="51">
        <f>IF(INDEX(TeamList,6)="","",INDEX(TeamList,6))</f>
        <v/>
      </c>
      <c r="B12" s="46">
        <f>IF($A12="","",IF(COUNTIFS('Absences'!$A$2:$A$13,$A12,'Absences'!$C$2:$C$13,"&lt;="&amp;B$6,'Absences'!$D$2:$D$13,"&gt;="&amp;B$6,'Absences'!$F$2:$F$13,"Yes")&gt;0,"Off",IF(SUMIFS('Shifts'!$F$2:$F$13,'Shifts'!$A$2:$A$13,$A12,'Shifts'!$B$2:$B$13,B$6)=0,"",SUMIFS('Shifts'!$F$2:$F$13,'Shifts'!$A$2:$A$13,$A12,'Shifts'!$B$2:$B$13,B$6))))</f>
        <v/>
      </c>
      <c r="C12" s="46">
        <f>IF($A12="","",IF(COUNTIFS('Absences'!$A$2:$A$13,$A12,'Absences'!$C$2:$C$13,"&lt;="&amp;C$6,'Absences'!$D$2:$D$13,"&gt;="&amp;C$6,'Absences'!$F$2:$F$13,"Yes")&gt;0,"Off",IF(SUMIFS('Shifts'!$F$2:$F$13,'Shifts'!$A$2:$A$13,$A12,'Shifts'!$B$2:$B$13,C$6)=0,"",SUMIFS('Shifts'!$F$2:$F$13,'Shifts'!$A$2:$A$13,$A12,'Shifts'!$B$2:$B$13,C$6))))</f>
        <v/>
      </c>
      <c r="D12" s="46">
        <f>IF($A12="","",IF(COUNTIFS('Absences'!$A$2:$A$13,$A12,'Absences'!$C$2:$C$13,"&lt;="&amp;D$6,'Absences'!$D$2:$D$13,"&gt;="&amp;D$6,'Absences'!$F$2:$F$13,"Yes")&gt;0,"Off",IF(SUMIFS('Shifts'!$F$2:$F$13,'Shifts'!$A$2:$A$13,$A12,'Shifts'!$B$2:$B$13,D$6)=0,"",SUMIFS('Shifts'!$F$2:$F$13,'Shifts'!$A$2:$A$13,$A12,'Shifts'!$B$2:$B$13,D$6))))</f>
        <v/>
      </c>
      <c r="E12" s="46">
        <f>IF($A12="","",IF(COUNTIFS('Absences'!$A$2:$A$13,$A12,'Absences'!$C$2:$C$13,"&lt;="&amp;E$6,'Absences'!$D$2:$D$13,"&gt;="&amp;E$6,'Absences'!$F$2:$F$13,"Yes")&gt;0,"Off",IF(SUMIFS('Shifts'!$F$2:$F$13,'Shifts'!$A$2:$A$13,$A12,'Shifts'!$B$2:$B$13,E$6)=0,"",SUMIFS('Shifts'!$F$2:$F$13,'Shifts'!$A$2:$A$13,$A12,'Shifts'!$B$2:$B$13,E$6))))</f>
        <v/>
      </c>
      <c r="F12" s="46">
        <f>IF($A12="","",IF(COUNTIFS('Absences'!$A$2:$A$13,$A12,'Absences'!$C$2:$C$13,"&lt;="&amp;F$6,'Absences'!$D$2:$D$13,"&gt;="&amp;F$6,'Absences'!$F$2:$F$13,"Yes")&gt;0,"Off",IF(SUMIFS('Shifts'!$F$2:$F$13,'Shifts'!$A$2:$A$13,$A12,'Shifts'!$B$2:$B$13,F$6)=0,"",SUMIFS('Shifts'!$F$2:$F$13,'Shifts'!$A$2:$A$13,$A12,'Shifts'!$B$2:$B$13,F$6))))</f>
        <v/>
      </c>
      <c r="G12" s="46">
        <f>IF($A12="","",IF(COUNTIFS('Absences'!$A$2:$A$13,$A12,'Absences'!$C$2:$C$13,"&lt;="&amp;G$6,'Absences'!$D$2:$D$13,"&gt;="&amp;G$6,'Absences'!$F$2:$F$13,"Yes")&gt;0,"Off",IF(SUMIFS('Shifts'!$F$2:$F$13,'Shifts'!$A$2:$A$13,$A12,'Shifts'!$B$2:$B$13,G$6)=0,"",SUMIFS('Shifts'!$F$2:$F$13,'Shifts'!$A$2:$A$13,$A12,'Shifts'!$B$2:$B$13,G$6))))</f>
        <v/>
      </c>
      <c r="H12" s="46">
        <f>IF($A12="","",IF(COUNTIFS('Absences'!$A$2:$A$13,$A12,'Absences'!$C$2:$C$13,"&lt;="&amp;H$6,'Absences'!$D$2:$D$13,"&gt;="&amp;H$6,'Absences'!$F$2:$F$13,"Yes")&gt;0,"Off",IF(SUMIFS('Shifts'!$F$2:$F$13,'Shifts'!$A$2:$A$13,$A12,'Shifts'!$B$2:$B$13,H$6)=0,"",SUMIFS('Shifts'!$F$2:$F$13,'Shifts'!$A$2:$A$13,$A12,'Shifts'!$B$2:$B$13,H$6))))</f>
        <v/>
      </c>
      <c r="I12" s="52">
        <f>IF($A12="","",SUM(B12:H12))</f>
        <v/>
      </c>
      <c r="J12" s="46">
        <f>IF($A12="","",N(INDEX(TeamHours,MATCH($A12,TeamList,0))))</f>
        <v/>
      </c>
      <c r="K12" s="46">
        <f>IF($A12="","",I12-J12)</f>
        <v/>
      </c>
    </row>
    <row r="13">
      <c r="A13" s="51">
        <f>IF(INDEX(TeamList,7)="","",INDEX(TeamList,7))</f>
        <v/>
      </c>
      <c r="B13" s="46">
        <f>IF($A13="","",IF(COUNTIFS('Absences'!$A$2:$A$13,$A13,'Absences'!$C$2:$C$13,"&lt;="&amp;B$6,'Absences'!$D$2:$D$13,"&gt;="&amp;B$6,'Absences'!$F$2:$F$13,"Yes")&gt;0,"Off",IF(SUMIFS('Shifts'!$F$2:$F$13,'Shifts'!$A$2:$A$13,$A13,'Shifts'!$B$2:$B$13,B$6)=0,"",SUMIFS('Shifts'!$F$2:$F$13,'Shifts'!$A$2:$A$13,$A13,'Shifts'!$B$2:$B$13,B$6))))</f>
        <v/>
      </c>
      <c r="C13" s="46">
        <f>IF($A13="","",IF(COUNTIFS('Absences'!$A$2:$A$13,$A13,'Absences'!$C$2:$C$13,"&lt;="&amp;C$6,'Absences'!$D$2:$D$13,"&gt;="&amp;C$6,'Absences'!$F$2:$F$13,"Yes")&gt;0,"Off",IF(SUMIFS('Shifts'!$F$2:$F$13,'Shifts'!$A$2:$A$13,$A13,'Shifts'!$B$2:$B$13,C$6)=0,"",SUMIFS('Shifts'!$F$2:$F$13,'Shifts'!$A$2:$A$13,$A13,'Shifts'!$B$2:$B$13,C$6))))</f>
        <v/>
      </c>
      <c r="D13" s="46">
        <f>IF($A13="","",IF(COUNTIFS('Absences'!$A$2:$A$13,$A13,'Absences'!$C$2:$C$13,"&lt;="&amp;D$6,'Absences'!$D$2:$D$13,"&gt;="&amp;D$6,'Absences'!$F$2:$F$13,"Yes")&gt;0,"Off",IF(SUMIFS('Shifts'!$F$2:$F$13,'Shifts'!$A$2:$A$13,$A13,'Shifts'!$B$2:$B$13,D$6)=0,"",SUMIFS('Shifts'!$F$2:$F$13,'Shifts'!$A$2:$A$13,$A13,'Shifts'!$B$2:$B$13,D$6))))</f>
        <v/>
      </c>
      <c r="E13" s="46">
        <f>IF($A13="","",IF(COUNTIFS('Absences'!$A$2:$A$13,$A13,'Absences'!$C$2:$C$13,"&lt;="&amp;E$6,'Absences'!$D$2:$D$13,"&gt;="&amp;E$6,'Absences'!$F$2:$F$13,"Yes")&gt;0,"Off",IF(SUMIFS('Shifts'!$F$2:$F$13,'Shifts'!$A$2:$A$13,$A13,'Shifts'!$B$2:$B$13,E$6)=0,"",SUMIFS('Shifts'!$F$2:$F$13,'Shifts'!$A$2:$A$13,$A13,'Shifts'!$B$2:$B$13,E$6))))</f>
        <v/>
      </c>
      <c r="F13" s="46">
        <f>IF($A13="","",IF(COUNTIFS('Absences'!$A$2:$A$13,$A13,'Absences'!$C$2:$C$13,"&lt;="&amp;F$6,'Absences'!$D$2:$D$13,"&gt;="&amp;F$6,'Absences'!$F$2:$F$13,"Yes")&gt;0,"Off",IF(SUMIFS('Shifts'!$F$2:$F$13,'Shifts'!$A$2:$A$13,$A13,'Shifts'!$B$2:$B$13,F$6)=0,"",SUMIFS('Shifts'!$F$2:$F$13,'Shifts'!$A$2:$A$13,$A13,'Shifts'!$B$2:$B$13,F$6))))</f>
        <v/>
      </c>
      <c r="G13" s="46">
        <f>IF($A13="","",IF(COUNTIFS('Absences'!$A$2:$A$13,$A13,'Absences'!$C$2:$C$13,"&lt;="&amp;G$6,'Absences'!$D$2:$D$13,"&gt;="&amp;G$6,'Absences'!$F$2:$F$13,"Yes")&gt;0,"Off",IF(SUMIFS('Shifts'!$F$2:$F$13,'Shifts'!$A$2:$A$13,$A13,'Shifts'!$B$2:$B$13,G$6)=0,"",SUMIFS('Shifts'!$F$2:$F$13,'Shifts'!$A$2:$A$13,$A13,'Shifts'!$B$2:$B$13,G$6))))</f>
        <v/>
      </c>
      <c r="H13" s="46">
        <f>IF($A13="","",IF(COUNTIFS('Absences'!$A$2:$A$13,$A13,'Absences'!$C$2:$C$13,"&lt;="&amp;H$6,'Absences'!$D$2:$D$13,"&gt;="&amp;H$6,'Absences'!$F$2:$F$13,"Yes")&gt;0,"Off",IF(SUMIFS('Shifts'!$F$2:$F$13,'Shifts'!$A$2:$A$13,$A13,'Shifts'!$B$2:$B$13,H$6)=0,"",SUMIFS('Shifts'!$F$2:$F$13,'Shifts'!$A$2:$A$13,$A13,'Shifts'!$B$2:$B$13,H$6))))</f>
        <v/>
      </c>
      <c r="I13" s="52">
        <f>IF($A13="","",SUM(B13:H13))</f>
        <v/>
      </c>
      <c r="J13" s="46">
        <f>IF($A13="","",N(INDEX(TeamHours,MATCH($A13,TeamList,0))))</f>
        <v/>
      </c>
      <c r="K13" s="46">
        <f>IF($A13="","",I13-J13)</f>
        <v/>
      </c>
    </row>
    <row r="14">
      <c r="A14" s="51">
        <f>IF(INDEX(TeamList,8)="","",INDEX(TeamList,8))</f>
        <v/>
      </c>
      <c r="B14" s="46">
        <f>IF($A14="","",IF(COUNTIFS('Absences'!$A$2:$A$13,$A14,'Absences'!$C$2:$C$13,"&lt;="&amp;B$6,'Absences'!$D$2:$D$13,"&gt;="&amp;B$6,'Absences'!$F$2:$F$13,"Yes")&gt;0,"Off",IF(SUMIFS('Shifts'!$F$2:$F$13,'Shifts'!$A$2:$A$13,$A14,'Shifts'!$B$2:$B$13,B$6)=0,"",SUMIFS('Shifts'!$F$2:$F$13,'Shifts'!$A$2:$A$13,$A14,'Shifts'!$B$2:$B$13,B$6))))</f>
        <v/>
      </c>
      <c r="C14" s="46">
        <f>IF($A14="","",IF(COUNTIFS('Absences'!$A$2:$A$13,$A14,'Absences'!$C$2:$C$13,"&lt;="&amp;C$6,'Absences'!$D$2:$D$13,"&gt;="&amp;C$6,'Absences'!$F$2:$F$13,"Yes")&gt;0,"Off",IF(SUMIFS('Shifts'!$F$2:$F$13,'Shifts'!$A$2:$A$13,$A14,'Shifts'!$B$2:$B$13,C$6)=0,"",SUMIFS('Shifts'!$F$2:$F$13,'Shifts'!$A$2:$A$13,$A14,'Shifts'!$B$2:$B$13,C$6))))</f>
        <v/>
      </c>
      <c r="D14" s="46">
        <f>IF($A14="","",IF(COUNTIFS('Absences'!$A$2:$A$13,$A14,'Absences'!$C$2:$C$13,"&lt;="&amp;D$6,'Absences'!$D$2:$D$13,"&gt;="&amp;D$6,'Absences'!$F$2:$F$13,"Yes")&gt;0,"Off",IF(SUMIFS('Shifts'!$F$2:$F$13,'Shifts'!$A$2:$A$13,$A14,'Shifts'!$B$2:$B$13,D$6)=0,"",SUMIFS('Shifts'!$F$2:$F$13,'Shifts'!$A$2:$A$13,$A14,'Shifts'!$B$2:$B$13,D$6))))</f>
        <v/>
      </c>
      <c r="E14" s="46">
        <f>IF($A14="","",IF(COUNTIFS('Absences'!$A$2:$A$13,$A14,'Absences'!$C$2:$C$13,"&lt;="&amp;E$6,'Absences'!$D$2:$D$13,"&gt;="&amp;E$6,'Absences'!$F$2:$F$13,"Yes")&gt;0,"Off",IF(SUMIFS('Shifts'!$F$2:$F$13,'Shifts'!$A$2:$A$13,$A14,'Shifts'!$B$2:$B$13,E$6)=0,"",SUMIFS('Shifts'!$F$2:$F$13,'Shifts'!$A$2:$A$13,$A14,'Shifts'!$B$2:$B$13,E$6))))</f>
        <v/>
      </c>
      <c r="F14" s="46">
        <f>IF($A14="","",IF(COUNTIFS('Absences'!$A$2:$A$13,$A14,'Absences'!$C$2:$C$13,"&lt;="&amp;F$6,'Absences'!$D$2:$D$13,"&gt;="&amp;F$6,'Absences'!$F$2:$F$13,"Yes")&gt;0,"Off",IF(SUMIFS('Shifts'!$F$2:$F$13,'Shifts'!$A$2:$A$13,$A14,'Shifts'!$B$2:$B$13,F$6)=0,"",SUMIFS('Shifts'!$F$2:$F$13,'Shifts'!$A$2:$A$13,$A14,'Shifts'!$B$2:$B$13,F$6))))</f>
        <v/>
      </c>
      <c r="G14" s="46">
        <f>IF($A14="","",IF(COUNTIFS('Absences'!$A$2:$A$13,$A14,'Absences'!$C$2:$C$13,"&lt;="&amp;G$6,'Absences'!$D$2:$D$13,"&gt;="&amp;G$6,'Absences'!$F$2:$F$13,"Yes")&gt;0,"Off",IF(SUMIFS('Shifts'!$F$2:$F$13,'Shifts'!$A$2:$A$13,$A14,'Shifts'!$B$2:$B$13,G$6)=0,"",SUMIFS('Shifts'!$F$2:$F$13,'Shifts'!$A$2:$A$13,$A14,'Shifts'!$B$2:$B$13,G$6))))</f>
        <v/>
      </c>
      <c r="H14" s="46">
        <f>IF($A14="","",IF(COUNTIFS('Absences'!$A$2:$A$13,$A14,'Absences'!$C$2:$C$13,"&lt;="&amp;H$6,'Absences'!$D$2:$D$13,"&gt;="&amp;H$6,'Absences'!$F$2:$F$13,"Yes")&gt;0,"Off",IF(SUMIFS('Shifts'!$F$2:$F$13,'Shifts'!$A$2:$A$13,$A14,'Shifts'!$B$2:$B$13,H$6)=0,"",SUMIFS('Shifts'!$F$2:$F$13,'Shifts'!$A$2:$A$13,$A14,'Shifts'!$B$2:$B$13,H$6))))</f>
        <v/>
      </c>
      <c r="I14" s="52">
        <f>IF($A14="","",SUM(B14:H14))</f>
        <v/>
      </c>
      <c r="J14" s="46">
        <f>IF($A14="","",N(INDEX(TeamHours,MATCH($A14,TeamList,0))))</f>
        <v/>
      </c>
      <c r="K14" s="46">
        <f>IF($A14="","",I14-J14)</f>
        <v/>
      </c>
    </row>
    <row r="15">
      <c r="A15" s="51">
        <f>IF(INDEX(TeamList,9)="","",INDEX(TeamList,9))</f>
        <v/>
      </c>
      <c r="B15" s="46">
        <f>IF($A15="","",IF(COUNTIFS('Absences'!$A$2:$A$13,$A15,'Absences'!$C$2:$C$13,"&lt;="&amp;B$6,'Absences'!$D$2:$D$13,"&gt;="&amp;B$6,'Absences'!$F$2:$F$13,"Yes")&gt;0,"Off",IF(SUMIFS('Shifts'!$F$2:$F$13,'Shifts'!$A$2:$A$13,$A15,'Shifts'!$B$2:$B$13,B$6)=0,"",SUMIFS('Shifts'!$F$2:$F$13,'Shifts'!$A$2:$A$13,$A15,'Shifts'!$B$2:$B$13,B$6))))</f>
        <v/>
      </c>
      <c r="C15" s="46">
        <f>IF($A15="","",IF(COUNTIFS('Absences'!$A$2:$A$13,$A15,'Absences'!$C$2:$C$13,"&lt;="&amp;C$6,'Absences'!$D$2:$D$13,"&gt;="&amp;C$6,'Absences'!$F$2:$F$13,"Yes")&gt;0,"Off",IF(SUMIFS('Shifts'!$F$2:$F$13,'Shifts'!$A$2:$A$13,$A15,'Shifts'!$B$2:$B$13,C$6)=0,"",SUMIFS('Shifts'!$F$2:$F$13,'Shifts'!$A$2:$A$13,$A15,'Shifts'!$B$2:$B$13,C$6))))</f>
        <v/>
      </c>
      <c r="D15" s="46">
        <f>IF($A15="","",IF(COUNTIFS('Absences'!$A$2:$A$13,$A15,'Absences'!$C$2:$C$13,"&lt;="&amp;D$6,'Absences'!$D$2:$D$13,"&gt;="&amp;D$6,'Absences'!$F$2:$F$13,"Yes")&gt;0,"Off",IF(SUMIFS('Shifts'!$F$2:$F$13,'Shifts'!$A$2:$A$13,$A15,'Shifts'!$B$2:$B$13,D$6)=0,"",SUMIFS('Shifts'!$F$2:$F$13,'Shifts'!$A$2:$A$13,$A15,'Shifts'!$B$2:$B$13,D$6))))</f>
        <v/>
      </c>
      <c r="E15" s="46">
        <f>IF($A15="","",IF(COUNTIFS('Absences'!$A$2:$A$13,$A15,'Absences'!$C$2:$C$13,"&lt;="&amp;E$6,'Absences'!$D$2:$D$13,"&gt;="&amp;E$6,'Absences'!$F$2:$F$13,"Yes")&gt;0,"Off",IF(SUMIFS('Shifts'!$F$2:$F$13,'Shifts'!$A$2:$A$13,$A15,'Shifts'!$B$2:$B$13,E$6)=0,"",SUMIFS('Shifts'!$F$2:$F$13,'Shifts'!$A$2:$A$13,$A15,'Shifts'!$B$2:$B$13,E$6))))</f>
        <v/>
      </c>
      <c r="F15" s="46">
        <f>IF($A15="","",IF(COUNTIFS('Absences'!$A$2:$A$13,$A15,'Absences'!$C$2:$C$13,"&lt;="&amp;F$6,'Absences'!$D$2:$D$13,"&gt;="&amp;F$6,'Absences'!$F$2:$F$13,"Yes")&gt;0,"Off",IF(SUMIFS('Shifts'!$F$2:$F$13,'Shifts'!$A$2:$A$13,$A15,'Shifts'!$B$2:$B$13,F$6)=0,"",SUMIFS('Shifts'!$F$2:$F$13,'Shifts'!$A$2:$A$13,$A15,'Shifts'!$B$2:$B$13,F$6))))</f>
        <v/>
      </c>
      <c r="G15" s="46">
        <f>IF($A15="","",IF(COUNTIFS('Absences'!$A$2:$A$13,$A15,'Absences'!$C$2:$C$13,"&lt;="&amp;G$6,'Absences'!$D$2:$D$13,"&gt;="&amp;G$6,'Absences'!$F$2:$F$13,"Yes")&gt;0,"Off",IF(SUMIFS('Shifts'!$F$2:$F$13,'Shifts'!$A$2:$A$13,$A15,'Shifts'!$B$2:$B$13,G$6)=0,"",SUMIFS('Shifts'!$F$2:$F$13,'Shifts'!$A$2:$A$13,$A15,'Shifts'!$B$2:$B$13,G$6))))</f>
        <v/>
      </c>
      <c r="H15" s="46">
        <f>IF($A15="","",IF(COUNTIFS('Absences'!$A$2:$A$13,$A15,'Absences'!$C$2:$C$13,"&lt;="&amp;H$6,'Absences'!$D$2:$D$13,"&gt;="&amp;H$6,'Absences'!$F$2:$F$13,"Yes")&gt;0,"Off",IF(SUMIFS('Shifts'!$F$2:$F$13,'Shifts'!$A$2:$A$13,$A15,'Shifts'!$B$2:$B$13,H$6)=0,"",SUMIFS('Shifts'!$F$2:$F$13,'Shifts'!$A$2:$A$13,$A15,'Shifts'!$B$2:$B$13,H$6))))</f>
        <v/>
      </c>
      <c r="I15" s="52">
        <f>IF($A15="","",SUM(B15:H15))</f>
        <v/>
      </c>
      <c r="J15" s="46">
        <f>IF($A15="","",N(INDEX(TeamHours,MATCH($A15,TeamList,0))))</f>
        <v/>
      </c>
      <c r="K15" s="46">
        <f>IF($A15="","",I15-J15)</f>
        <v/>
      </c>
    </row>
    <row r="16">
      <c r="A16" s="51">
        <f>IF(INDEX(TeamList,10)="","",INDEX(TeamList,10))</f>
        <v/>
      </c>
      <c r="B16" s="46">
        <f>IF($A16="","",IF(COUNTIFS('Absences'!$A$2:$A$13,$A16,'Absences'!$C$2:$C$13,"&lt;="&amp;B$6,'Absences'!$D$2:$D$13,"&gt;="&amp;B$6,'Absences'!$F$2:$F$13,"Yes")&gt;0,"Off",IF(SUMIFS('Shifts'!$F$2:$F$13,'Shifts'!$A$2:$A$13,$A16,'Shifts'!$B$2:$B$13,B$6)=0,"",SUMIFS('Shifts'!$F$2:$F$13,'Shifts'!$A$2:$A$13,$A16,'Shifts'!$B$2:$B$13,B$6))))</f>
        <v/>
      </c>
      <c r="C16" s="46">
        <f>IF($A16="","",IF(COUNTIFS('Absences'!$A$2:$A$13,$A16,'Absences'!$C$2:$C$13,"&lt;="&amp;C$6,'Absences'!$D$2:$D$13,"&gt;="&amp;C$6,'Absences'!$F$2:$F$13,"Yes")&gt;0,"Off",IF(SUMIFS('Shifts'!$F$2:$F$13,'Shifts'!$A$2:$A$13,$A16,'Shifts'!$B$2:$B$13,C$6)=0,"",SUMIFS('Shifts'!$F$2:$F$13,'Shifts'!$A$2:$A$13,$A16,'Shifts'!$B$2:$B$13,C$6))))</f>
        <v/>
      </c>
      <c r="D16" s="46">
        <f>IF($A16="","",IF(COUNTIFS('Absences'!$A$2:$A$13,$A16,'Absences'!$C$2:$C$13,"&lt;="&amp;D$6,'Absences'!$D$2:$D$13,"&gt;="&amp;D$6,'Absences'!$F$2:$F$13,"Yes")&gt;0,"Off",IF(SUMIFS('Shifts'!$F$2:$F$13,'Shifts'!$A$2:$A$13,$A16,'Shifts'!$B$2:$B$13,D$6)=0,"",SUMIFS('Shifts'!$F$2:$F$13,'Shifts'!$A$2:$A$13,$A16,'Shifts'!$B$2:$B$13,D$6))))</f>
        <v/>
      </c>
      <c r="E16" s="46">
        <f>IF($A16="","",IF(COUNTIFS('Absences'!$A$2:$A$13,$A16,'Absences'!$C$2:$C$13,"&lt;="&amp;E$6,'Absences'!$D$2:$D$13,"&gt;="&amp;E$6,'Absences'!$F$2:$F$13,"Yes")&gt;0,"Off",IF(SUMIFS('Shifts'!$F$2:$F$13,'Shifts'!$A$2:$A$13,$A16,'Shifts'!$B$2:$B$13,E$6)=0,"",SUMIFS('Shifts'!$F$2:$F$13,'Shifts'!$A$2:$A$13,$A16,'Shifts'!$B$2:$B$13,E$6))))</f>
        <v/>
      </c>
      <c r="F16" s="46">
        <f>IF($A16="","",IF(COUNTIFS('Absences'!$A$2:$A$13,$A16,'Absences'!$C$2:$C$13,"&lt;="&amp;F$6,'Absences'!$D$2:$D$13,"&gt;="&amp;F$6,'Absences'!$F$2:$F$13,"Yes")&gt;0,"Off",IF(SUMIFS('Shifts'!$F$2:$F$13,'Shifts'!$A$2:$A$13,$A16,'Shifts'!$B$2:$B$13,F$6)=0,"",SUMIFS('Shifts'!$F$2:$F$13,'Shifts'!$A$2:$A$13,$A16,'Shifts'!$B$2:$B$13,F$6))))</f>
        <v/>
      </c>
      <c r="G16" s="46">
        <f>IF($A16="","",IF(COUNTIFS('Absences'!$A$2:$A$13,$A16,'Absences'!$C$2:$C$13,"&lt;="&amp;G$6,'Absences'!$D$2:$D$13,"&gt;="&amp;G$6,'Absences'!$F$2:$F$13,"Yes")&gt;0,"Off",IF(SUMIFS('Shifts'!$F$2:$F$13,'Shifts'!$A$2:$A$13,$A16,'Shifts'!$B$2:$B$13,G$6)=0,"",SUMIFS('Shifts'!$F$2:$F$13,'Shifts'!$A$2:$A$13,$A16,'Shifts'!$B$2:$B$13,G$6))))</f>
        <v/>
      </c>
      <c r="H16" s="46">
        <f>IF($A16="","",IF(COUNTIFS('Absences'!$A$2:$A$13,$A16,'Absences'!$C$2:$C$13,"&lt;="&amp;H$6,'Absences'!$D$2:$D$13,"&gt;="&amp;H$6,'Absences'!$F$2:$F$13,"Yes")&gt;0,"Off",IF(SUMIFS('Shifts'!$F$2:$F$13,'Shifts'!$A$2:$A$13,$A16,'Shifts'!$B$2:$B$13,H$6)=0,"",SUMIFS('Shifts'!$F$2:$F$13,'Shifts'!$A$2:$A$13,$A16,'Shifts'!$B$2:$B$13,H$6))))</f>
        <v/>
      </c>
      <c r="I16" s="52">
        <f>IF($A16="","",SUM(B16:H16))</f>
        <v/>
      </c>
      <c r="J16" s="46">
        <f>IF($A16="","",N(INDEX(TeamHours,MATCH($A16,TeamList,0))))</f>
        <v/>
      </c>
      <c r="K16" s="46">
        <f>IF($A16="","",I16-J16)</f>
        <v/>
      </c>
    </row>
    <row r="17">
      <c r="A17" s="51">
        <f>IF(INDEX(TeamList,11)="","",INDEX(TeamList,11))</f>
        <v/>
      </c>
      <c r="B17" s="46">
        <f>IF($A17="","",IF(COUNTIFS('Absences'!$A$2:$A$13,$A17,'Absences'!$C$2:$C$13,"&lt;="&amp;B$6,'Absences'!$D$2:$D$13,"&gt;="&amp;B$6,'Absences'!$F$2:$F$13,"Yes")&gt;0,"Off",IF(SUMIFS('Shifts'!$F$2:$F$13,'Shifts'!$A$2:$A$13,$A17,'Shifts'!$B$2:$B$13,B$6)=0,"",SUMIFS('Shifts'!$F$2:$F$13,'Shifts'!$A$2:$A$13,$A17,'Shifts'!$B$2:$B$13,B$6))))</f>
        <v/>
      </c>
      <c r="C17" s="46">
        <f>IF($A17="","",IF(COUNTIFS('Absences'!$A$2:$A$13,$A17,'Absences'!$C$2:$C$13,"&lt;="&amp;C$6,'Absences'!$D$2:$D$13,"&gt;="&amp;C$6,'Absences'!$F$2:$F$13,"Yes")&gt;0,"Off",IF(SUMIFS('Shifts'!$F$2:$F$13,'Shifts'!$A$2:$A$13,$A17,'Shifts'!$B$2:$B$13,C$6)=0,"",SUMIFS('Shifts'!$F$2:$F$13,'Shifts'!$A$2:$A$13,$A17,'Shifts'!$B$2:$B$13,C$6))))</f>
        <v/>
      </c>
      <c r="D17" s="46">
        <f>IF($A17="","",IF(COUNTIFS('Absences'!$A$2:$A$13,$A17,'Absences'!$C$2:$C$13,"&lt;="&amp;D$6,'Absences'!$D$2:$D$13,"&gt;="&amp;D$6,'Absences'!$F$2:$F$13,"Yes")&gt;0,"Off",IF(SUMIFS('Shifts'!$F$2:$F$13,'Shifts'!$A$2:$A$13,$A17,'Shifts'!$B$2:$B$13,D$6)=0,"",SUMIFS('Shifts'!$F$2:$F$13,'Shifts'!$A$2:$A$13,$A17,'Shifts'!$B$2:$B$13,D$6))))</f>
        <v/>
      </c>
      <c r="E17" s="46">
        <f>IF($A17="","",IF(COUNTIFS('Absences'!$A$2:$A$13,$A17,'Absences'!$C$2:$C$13,"&lt;="&amp;E$6,'Absences'!$D$2:$D$13,"&gt;="&amp;E$6,'Absences'!$F$2:$F$13,"Yes")&gt;0,"Off",IF(SUMIFS('Shifts'!$F$2:$F$13,'Shifts'!$A$2:$A$13,$A17,'Shifts'!$B$2:$B$13,E$6)=0,"",SUMIFS('Shifts'!$F$2:$F$13,'Shifts'!$A$2:$A$13,$A17,'Shifts'!$B$2:$B$13,E$6))))</f>
        <v/>
      </c>
      <c r="F17" s="46">
        <f>IF($A17="","",IF(COUNTIFS('Absences'!$A$2:$A$13,$A17,'Absences'!$C$2:$C$13,"&lt;="&amp;F$6,'Absences'!$D$2:$D$13,"&gt;="&amp;F$6,'Absences'!$F$2:$F$13,"Yes")&gt;0,"Off",IF(SUMIFS('Shifts'!$F$2:$F$13,'Shifts'!$A$2:$A$13,$A17,'Shifts'!$B$2:$B$13,F$6)=0,"",SUMIFS('Shifts'!$F$2:$F$13,'Shifts'!$A$2:$A$13,$A17,'Shifts'!$B$2:$B$13,F$6))))</f>
        <v/>
      </c>
      <c r="G17" s="46">
        <f>IF($A17="","",IF(COUNTIFS('Absences'!$A$2:$A$13,$A17,'Absences'!$C$2:$C$13,"&lt;="&amp;G$6,'Absences'!$D$2:$D$13,"&gt;="&amp;G$6,'Absences'!$F$2:$F$13,"Yes")&gt;0,"Off",IF(SUMIFS('Shifts'!$F$2:$F$13,'Shifts'!$A$2:$A$13,$A17,'Shifts'!$B$2:$B$13,G$6)=0,"",SUMIFS('Shifts'!$F$2:$F$13,'Shifts'!$A$2:$A$13,$A17,'Shifts'!$B$2:$B$13,G$6))))</f>
        <v/>
      </c>
      <c r="H17" s="46">
        <f>IF($A17="","",IF(COUNTIFS('Absences'!$A$2:$A$13,$A17,'Absences'!$C$2:$C$13,"&lt;="&amp;H$6,'Absences'!$D$2:$D$13,"&gt;="&amp;H$6,'Absences'!$F$2:$F$13,"Yes")&gt;0,"Off",IF(SUMIFS('Shifts'!$F$2:$F$13,'Shifts'!$A$2:$A$13,$A17,'Shifts'!$B$2:$B$13,H$6)=0,"",SUMIFS('Shifts'!$F$2:$F$13,'Shifts'!$A$2:$A$13,$A17,'Shifts'!$B$2:$B$13,H$6))))</f>
        <v/>
      </c>
      <c r="I17" s="52">
        <f>IF($A17="","",SUM(B17:H17))</f>
        <v/>
      </c>
      <c r="J17" s="46">
        <f>IF($A17="","",N(INDEX(TeamHours,MATCH($A17,TeamList,0))))</f>
        <v/>
      </c>
      <c r="K17" s="46">
        <f>IF($A17="","",I17-J17)</f>
        <v/>
      </c>
    </row>
    <row r="18">
      <c r="A18" s="51">
        <f>IF(INDEX(TeamList,12)="","",INDEX(TeamList,12))</f>
        <v/>
      </c>
      <c r="B18" s="46">
        <f>IF($A18="","",IF(COUNTIFS('Absences'!$A$2:$A$13,$A18,'Absences'!$C$2:$C$13,"&lt;="&amp;B$6,'Absences'!$D$2:$D$13,"&gt;="&amp;B$6,'Absences'!$F$2:$F$13,"Yes")&gt;0,"Off",IF(SUMIFS('Shifts'!$F$2:$F$13,'Shifts'!$A$2:$A$13,$A18,'Shifts'!$B$2:$B$13,B$6)=0,"",SUMIFS('Shifts'!$F$2:$F$13,'Shifts'!$A$2:$A$13,$A18,'Shifts'!$B$2:$B$13,B$6))))</f>
        <v/>
      </c>
      <c r="C18" s="46">
        <f>IF($A18="","",IF(COUNTIFS('Absences'!$A$2:$A$13,$A18,'Absences'!$C$2:$C$13,"&lt;="&amp;C$6,'Absences'!$D$2:$D$13,"&gt;="&amp;C$6,'Absences'!$F$2:$F$13,"Yes")&gt;0,"Off",IF(SUMIFS('Shifts'!$F$2:$F$13,'Shifts'!$A$2:$A$13,$A18,'Shifts'!$B$2:$B$13,C$6)=0,"",SUMIFS('Shifts'!$F$2:$F$13,'Shifts'!$A$2:$A$13,$A18,'Shifts'!$B$2:$B$13,C$6))))</f>
        <v/>
      </c>
      <c r="D18" s="46">
        <f>IF($A18="","",IF(COUNTIFS('Absences'!$A$2:$A$13,$A18,'Absences'!$C$2:$C$13,"&lt;="&amp;D$6,'Absences'!$D$2:$D$13,"&gt;="&amp;D$6,'Absences'!$F$2:$F$13,"Yes")&gt;0,"Off",IF(SUMIFS('Shifts'!$F$2:$F$13,'Shifts'!$A$2:$A$13,$A18,'Shifts'!$B$2:$B$13,D$6)=0,"",SUMIFS('Shifts'!$F$2:$F$13,'Shifts'!$A$2:$A$13,$A18,'Shifts'!$B$2:$B$13,D$6))))</f>
        <v/>
      </c>
      <c r="E18" s="46">
        <f>IF($A18="","",IF(COUNTIFS('Absences'!$A$2:$A$13,$A18,'Absences'!$C$2:$C$13,"&lt;="&amp;E$6,'Absences'!$D$2:$D$13,"&gt;="&amp;E$6,'Absences'!$F$2:$F$13,"Yes")&gt;0,"Off",IF(SUMIFS('Shifts'!$F$2:$F$13,'Shifts'!$A$2:$A$13,$A18,'Shifts'!$B$2:$B$13,E$6)=0,"",SUMIFS('Shifts'!$F$2:$F$13,'Shifts'!$A$2:$A$13,$A18,'Shifts'!$B$2:$B$13,E$6))))</f>
        <v/>
      </c>
      <c r="F18" s="46">
        <f>IF($A18="","",IF(COUNTIFS('Absences'!$A$2:$A$13,$A18,'Absences'!$C$2:$C$13,"&lt;="&amp;F$6,'Absences'!$D$2:$D$13,"&gt;="&amp;F$6,'Absences'!$F$2:$F$13,"Yes")&gt;0,"Off",IF(SUMIFS('Shifts'!$F$2:$F$13,'Shifts'!$A$2:$A$13,$A18,'Shifts'!$B$2:$B$13,F$6)=0,"",SUMIFS('Shifts'!$F$2:$F$13,'Shifts'!$A$2:$A$13,$A18,'Shifts'!$B$2:$B$13,F$6))))</f>
        <v/>
      </c>
      <c r="G18" s="46">
        <f>IF($A18="","",IF(COUNTIFS('Absences'!$A$2:$A$13,$A18,'Absences'!$C$2:$C$13,"&lt;="&amp;G$6,'Absences'!$D$2:$D$13,"&gt;="&amp;G$6,'Absences'!$F$2:$F$13,"Yes")&gt;0,"Off",IF(SUMIFS('Shifts'!$F$2:$F$13,'Shifts'!$A$2:$A$13,$A18,'Shifts'!$B$2:$B$13,G$6)=0,"",SUMIFS('Shifts'!$F$2:$F$13,'Shifts'!$A$2:$A$13,$A18,'Shifts'!$B$2:$B$13,G$6))))</f>
        <v/>
      </c>
      <c r="H18" s="46">
        <f>IF($A18="","",IF(COUNTIFS('Absences'!$A$2:$A$13,$A18,'Absences'!$C$2:$C$13,"&lt;="&amp;H$6,'Absences'!$D$2:$D$13,"&gt;="&amp;H$6,'Absences'!$F$2:$F$13,"Yes")&gt;0,"Off",IF(SUMIFS('Shifts'!$F$2:$F$13,'Shifts'!$A$2:$A$13,$A18,'Shifts'!$B$2:$B$13,H$6)=0,"",SUMIFS('Shifts'!$F$2:$F$13,'Shifts'!$A$2:$A$13,$A18,'Shifts'!$B$2:$B$13,H$6))))</f>
        <v/>
      </c>
      <c r="I18" s="52">
        <f>IF($A18="","",SUM(B18:H18))</f>
        <v/>
      </c>
      <c r="J18" s="46">
        <f>IF($A18="","",N(INDEX(TeamHours,MATCH($A18,TeamList,0))))</f>
        <v/>
      </c>
      <c r="K18" s="46">
        <f>IF($A18="","",I18-J18)</f>
        <v/>
      </c>
    </row>
    <row r="19">
      <c r="A19" s="51">
        <f>IF(INDEX(TeamList,13)="","",INDEX(TeamList,13))</f>
        <v/>
      </c>
      <c r="B19" s="46">
        <f>IF($A19="","",IF(COUNTIFS('Absences'!$A$2:$A$13,$A19,'Absences'!$C$2:$C$13,"&lt;="&amp;B$6,'Absences'!$D$2:$D$13,"&gt;="&amp;B$6,'Absences'!$F$2:$F$13,"Yes")&gt;0,"Off",IF(SUMIFS('Shifts'!$F$2:$F$13,'Shifts'!$A$2:$A$13,$A19,'Shifts'!$B$2:$B$13,B$6)=0,"",SUMIFS('Shifts'!$F$2:$F$13,'Shifts'!$A$2:$A$13,$A19,'Shifts'!$B$2:$B$13,B$6))))</f>
        <v/>
      </c>
      <c r="C19" s="46">
        <f>IF($A19="","",IF(COUNTIFS('Absences'!$A$2:$A$13,$A19,'Absences'!$C$2:$C$13,"&lt;="&amp;C$6,'Absences'!$D$2:$D$13,"&gt;="&amp;C$6,'Absences'!$F$2:$F$13,"Yes")&gt;0,"Off",IF(SUMIFS('Shifts'!$F$2:$F$13,'Shifts'!$A$2:$A$13,$A19,'Shifts'!$B$2:$B$13,C$6)=0,"",SUMIFS('Shifts'!$F$2:$F$13,'Shifts'!$A$2:$A$13,$A19,'Shifts'!$B$2:$B$13,C$6))))</f>
        <v/>
      </c>
      <c r="D19" s="46">
        <f>IF($A19="","",IF(COUNTIFS('Absences'!$A$2:$A$13,$A19,'Absences'!$C$2:$C$13,"&lt;="&amp;D$6,'Absences'!$D$2:$D$13,"&gt;="&amp;D$6,'Absences'!$F$2:$F$13,"Yes")&gt;0,"Off",IF(SUMIFS('Shifts'!$F$2:$F$13,'Shifts'!$A$2:$A$13,$A19,'Shifts'!$B$2:$B$13,D$6)=0,"",SUMIFS('Shifts'!$F$2:$F$13,'Shifts'!$A$2:$A$13,$A19,'Shifts'!$B$2:$B$13,D$6))))</f>
        <v/>
      </c>
      <c r="E19" s="46">
        <f>IF($A19="","",IF(COUNTIFS('Absences'!$A$2:$A$13,$A19,'Absences'!$C$2:$C$13,"&lt;="&amp;E$6,'Absences'!$D$2:$D$13,"&gt;="&amp;E$6,'Absences'!$F$2:$F$13,"Yes")&gt;0,"Off",IF(SUMIFS('Shifts'!$F$2:$F$13,'Shifts'!$A$2:$A$13,$A19,'Shifts'!$B$2:$B$13,E$6)=0,"",SUMIFS('Shifts'!$F$2:$F$13,'Shifts'!$A$2:$A$13,$A19,'Shifts'!$B$2:$B$13,E$6))))</f>
        <v/>
      </c>
      <c r="F19" s="46">
        <f>IF($A19="","",IF(COUNTIFS('Absences'!$A$2:$A$13,$A19,'Absences'!$C$2:$C$13,"&lt;="&amp;F$6,'Absences'!$D$2:$D$13,"&gt;="&amp;F$6,'Absences'!$F$2:$F$13,"Yes")&gt;0,"Off",IF(SUMIFS('Shifts'!$F$2:$F$13,'Shifts'!$A$2:$A$13,$A19,'Shifts'!$B$2:$B$13,F$6)=0,"",SUMIFS('Shifts'!$F$2:$F$13,'Shifts'!$A$2:$A$13,$A19,'Shifts'!$B$2:$B$13,F$6))))</f>
        <v/>
      </c>
      <c r="G19" s="46">
        <f>IF($A19="","",IF(COUNTIFS('Absences'!$A$2:$A$13,$A19,'Absences'!$C$2:$C$13,"&lt;="&amp;G$6,'Absences'!$D$2:$D$13,"&gt;="&amp;G$6,'Absences'!$F$2:$F$13,"Yes")&gt;0,"Off",IF(SUMIFS('Shifts'!$F$2:$F$13,'Shifts'!$A$2:$A$13,$A19,'Shifts'!$B$2:$B$13,G$6)=0,"",SUMIFS('Shifts'!$F$2:$F$13,'Shifts'!$A$2:$A$13,$A19,'Shifts'!$B$2:$B$13,G$6))))</f>
        <v/>
      </c>
      <c r="H19" s="46">
        <f>IF($A19="","",IF(COUNTIFS('Absences'!$A$2:$A$13,$A19,'Absences'!$C$2:$C$13,"&lt;="&amp;H$6,'Absences'!$D$2:$D$13,"&gt;="&amp;H$6,'Absences'!$F$2:$F$13,"Yes")&gt;0,"Off",IF(SUMIFS('Shifts'!$F$2:$F$13,'Shifts'!$A$2:$A$13,$A19,'Shifts'!$B$2:$B$13,H$6)=0,"",SUMIFS('Shifts'!$F$2:$F$13,'Shifts'!$A$2:$A$13,$A19,'Shifts'!$B$2:$B$13,H$6))))</f>
        <v/>
      </c>
      <c r="I19" s="52">
        <f>IF($A19="","",SUM(B19:H19))</f>
        <v/>
      </c>
      <c r="J19" s="46">
        <f>IF($A19="","",N(INDEX(TeamHours,MATCH($A19,TeamList,0))))</f>
        <v/>
      </c>
      <c r="K19" s="46">
        <f>IF($A19="","",I19-J19)</f>
        <v/>
      </c>
    </row>
    <row r="20">
      <c r="A20" s="51">
        <f>IF(INDEX(TeamList,14)="","",INDEX(TeamList,14))</f>
        <v/>
      </c>
      <c r="B20" s="46">
        <f>IF($A20="","",IF(COUNTIFS('Absences'!$A$2:$A$13,$A20,'Absences'!$C$2:$C$13,"&lt;="&amp;B$6,'Absences'!$D$2:$D$13,"&gt;="&amp;B$6,'Absences'!$F$2:$F$13,"Yes")&gt;0,"Off",IF(SUMIFS('Shifts'!$F$2:$F$13,'Shifts'!$A$2:$A$13,$A20,'Shifts'!$B$2:$B$13,B$6)=0,"",SUMIFS('Shifts'!$F$2:$F$13,'Shifts'!$A$2:$A$13,$A20,'Shifts'!$B$2:$B$13,B$6))))</f>
        <v/>
      </c>
      <c r="C20" s="46">
        <f>IF($A20="","",IF(COUNTIFS('Absences'!$A$2:$A$13,$A20,'Absences'!$C$2:$C$13,"&lt;="&amp;C$6,'Absences'!$D$2:$D$13,"&gt;="&amp;C$6,'Absences'!$F$2:$F$13,"Yes")&gt;0,"Off",IF(SUMIFS('Shifts'!$F$2:$F$13,'Shifts'!$A$2:$A$13,$A20,'Shifts'!$B$2:$B$13,C$6)=0,"",SUMIFS('Shifts'!$F$2:$F$13,'Shifts'!$A$2:$A$13,$A20,'Shifts'!$B$2:$B$13,C$6))))</f>
        <v/>
      </c>
      <c r="D20" s="46">
        <f>IF($A20="","",IF(COUNTIFS('Absences'!$A$2:$A$13,$A20,'Absences'!$C$2:$C$13,"&lt;="&amp;D$6,'Absences'!$D$2:$D$13,"&gt;="&amp;D$6,'Absences'!$F$2:$F$13,"Yes")&gt;0,"Off",IF(SUMIFS('Shifts'!$F$2:$F$13,'Shifts'!$A$2:$A$13,$A20,'Shifts'!$B$2:$B$13,D$6)=0,"",SUMIFS('Shifts'!$F$2:$F$13,'Shifts'!$A$2:$A$13,$A20,'Shifts'!$B$2:$B$13,D$6))))</f>
        <v/>
      </c>
      <c r="E20" s="46">
        <f>IF($A20="","",IF(COUNTIFS('Absences'!$A$2:$A$13,$A20,'Absences'!$C$2:$C$13,"&lt;="&amp;E$6,'Absences'!$D$2:$D$13,"&gt;="&amp;E$6,'Absences'!$F$2:$F$13,"Yes")&gt;0,"Off",IF(SUMIFS('Shifts'!$F$2:$F$13,'Shifts'!$A$2:$A$13,$A20,'Shifts'!$B$2:$B$13,E$6)=0,"",SUMIFS('Shifts'!$F$2:$F$13,'Shifts'!$A$2:$A$13,$A20,'Shifts'!$B$2:$B$13,E$6))))</f>
        <v/>
      </c>
      <c r="F20" s="46">
        <f>IF($A20="","",IF(COUNTIFS('Absences'!$A$2:$A$13,$A20,'Absences'!$C$2:$C$13,"&lt;="&amp;F$6,'Absences'!$D$2:$D$13,"&gt;="&amp;F$6,'Absences'!$F$2:$F$13,"Yes")&gt;0,"Off",IF(SUMIFS('Shifts'!$F$2:$F$13,'Shifts'!$A$2:$A$13,$A20,'Shifts'!$B$2:$B$13,F$6)=0,"",SUMIFS('Shifts'!$F$2:$F$13,'Shifts'!$A$2:$A$13,$A20,'Shifts'!$B$2:$B$13,F$6))))</f>
        <v/>
      </c>
      <c r="G20" s="46">
        <f>IF($A20="","",IF(COUNTIFS('Absences'!$A$2:$A$13,$A20,'Absences'!$C$2:$C$13,"&lt;="&amp;G$6,'Absences'!$D$2:$D$13,"&gt;="&amp;G$6,'Absences'!$F$2:$F$13,"Yes")&gt;0,"Off",IF(SUMIFS('Shifts'!$F$2:$F$13,'Shifts'!$A$2:$A$13,$A20,'Shifts'!$B$2:$B$13,G$6)=0,"",SUMIFS('Shifts'!$F$2:$F$13,'Shifts'!$A$2:$A$13,$A20,'Shifts'!$B$2:$B$13,G$6))))</f>
        <v/>
      </c>
      <c r="H20" s="46">
        <f>IF($A20="","",IF(COUNTIFS('Absences'!$A$2:$A$13,$A20,'Absences'!$C$2:$C$13,"&lt;="&amp;H$6,'Absences'!$D$2:$D$13,"&gt;="&amp;H$6,'Absences'!$F$2:$F$13,"Yes")&gt;0,"Off",IF(SUMIFS('Shifts'!$F$2:$F$13,'Shifts'!$A$2:$A$13,$A20,'Shifts'!$B$2:$B$13,H$6)=0,"",SUMIFS('Shifts'!$F$2:$F$13,'Shifts'!$A$2:$A$13,$A20,'Shifts'!$B$2:$B$13,H$6))))</f>
        <v/>
      </c>
      <c r="I20" s="52">
        <f>IF($A20="","",SUM(B20:H20))</f>
        <v/>
      </c>
      <c r="J20" s="46">
        <f>IF($A20="","",N(INDEX(TeamHours,MATCH($A20,TeamList,0))))</f>
        <v/>
      </c>
      <c r="K20" s="46">
        <f>IF($A20="","",I20-J20)</f>
        <v/>
      </c>
    </row>
    <row r="21">
      <c r="A21" s="51">
        <f>IF(INDEX(TeamList,15)="","",INDEX(TeamList,15))</f>
        <v/>
      </c>
      <c r="B21" s="46">
        <f>IF($A21="","",IF(COUNTIFS('Absences'!$A$2:$A$13,$A21,'Absences'!$C$2:$C$13,"&lt;="&amp;B$6,'Absences'!$D$2:$D$13,"&gt;="&amp;B$6,'Absences'!$F$2:$F$13,"Yes")&gt;0,"Off",IF(SUMIFS('Shifts'!$F$2:$F$13,'Shifts'!$A$2:$A$13,$A21,'Shifts'!$B$2:$B$13,B$6)=0,"",SUMIFS('Shifts'!$F$2:$F$13,'Shifts'!$A$2:$A$13,$A21,'Shifts'!$B$2:$B$13,B$6))))</f>
        <v/>
      </c>
      <c r="C21" s="46">
        <f>IF($A21="","",IF(COUNTIFS('Absences'!$A$2:$A$13,$A21,'Absences'!$C$2:$C$13,"&lt;="&amp;C$6,'Absences'!$D$2:$D$13,"&gt;="&amp;C$6,'Absences'!$F$2:$F$13,"Yes")&gt;0,"Off",IF(SUMIFS('Shifts'!$F$2:$F$13,'Shifts'!$A$2:$A$13,$A21,'Shifts'!$B$2:$B$13,C$6)=0,"",SUMIFS('Shifts'!$F$2:$F$13,'Shifts'!$A$2:$A$13,$A21,'Shifts'!$B$2:$B$13,C$6))))</f>
        <v/>
      </c>
      <c r="D21" s="46">
        <f>IF($A21="","",IF(COUNTIFS('Absences'!$A$2:$A$13,$A21,'Absences'!$C$2:$C$13,"&lt;="&amp;D$6,'Absences'!$D$2:$D$13,"&gt;="&amp;D$6,'Absences'!$F$2:$F$13,"Yes")&gt;0,"Off",IF(SUMIFS('Shifts'!$F$2:$F$13,'Shifts'!$A$2:$A$13,$A21,'Shifts'!$B$2:$B$13,D$6)=0,"",SUMIFS('Shifts'!$F$2:$F$13,'Shifts'!$A$2:$A$13,$A21,'Shifts'!$B$2:$B$13,D$6))))</f>
        <v/>
      </c>
      <c r="E21" s="46">
        <f>IF($A21="","",IF(COUNTIFS('Absences'!$A$2:$A$13,$A21,'Absences'!$C$2:$C$13,"&lt;="&amp;E$6,'Absences'!$D$2:$D$13,"&gt;="&amp;E$6,'Absences'!$F$2:$F$13,"Yes")&gt;0,"Off",IF(SUMIFS('Shifts'!$F$2:$F$13,'Shifts'!$A$2:$A$13,$A21,'Shifts'!$B$2:$B$13,E$6)=0,"",SUMIFS('Shifts'!$F$2:$F$13,'Shifts'!$A$2:$A$13,$A21,'Shifts'!$B$2:$B$13,E$6))))</f>
        <v/>
      </c>
      <c r="F21" s="46">
        <f>IF($A21="","",IF(COUNTIFS('Absences'!$A$2:$A$13,$A21,'Absences'!$C$2:$C$13,"&lt;="&amp;F$6,'Absences'!$D$2:$D$13,"&gt;="&amp;F$6,'Absences'!$F$2:$F$13,"Yes")&gt;0,"Off",IF(SUMIFS('Shifts'!$F$2:$F$13,'Shifts'!$A$2:$A$13,$A21,'Shifts'!$B$2:$B$13,F$6)=0,"",SUMIFS('Shifts'!$F$2:$F$13,'Shifts'!$A$2:$A$13,$A21,'Shifts'!$B$2:$B$13,F$6))))</f>
        <v/>
      </c>
      <c r="G21" s="46">
        <f>IF($A21="","",IF(COUNTIFS('Absences'!$A$2:$A$13,$A21,'Absences'!$C$2:$C$13,"&lt;="&amp;G$6,'Absences'!$D$2:$D$13,"&gt;="&amp;G$6,'Absences'!$F$2:$F$13,"Yes")&gt;0,"Off",IF(SUMIFS('Shifts'!$F$2:$F$13,'Shifts'!$A$2:$A$13,$A21,'Shifts'!$B$2:$B$13,G$6)=0,"",SUMIFS('Shifts'!$F$2:$F$13,'Shifts'!$A$2:$A$13,$A21,'Shifts'!$B$2:$B$13,G$6))))</f>
        <v/>
      </c>
      <c r="H21" s="46">
        <f>IF($A21="","",IF(COUNTIFS('Absences'!$A$2:$A$13,$A21,'Absences'!$C$2:$C$13,"&lt;="&amp;H$6,'Absences'!$D$2:$D$13,"&gt;="&amp;H$6,'Absences'!$F$2:$F$13,"Yes")&gt;0,"Off",IF(SUMIFS('Shifts'!$F$2:$F$13,'Shifts'!$A$2:$A$13,$A21,'Shifts'!$B$2:$B$13,H$6)=0,"",SUMIFS('Shifts'!$F$2:$F$13,'Shifts'!$A$2:$A$13,$A21,'Shifts'!$B$2:$B$13,H$6))))</f>
        <v/>
      </c>
      <c r="I21" s="52">
        <f>IF($A21="","",SUM(B21:H21))</f>
        <v/>
      </c>
      <c r="J21" s="46">
        <f>IF($A21="","",N(INDEX(TeamHours,MATCH($A21,TeamList,0))))</f>
        <v/>
      </c>
      <c r="K21" s="46">
        <f>IF($A21="","",I21-J21)</f>
        <v/>
      </c>
    </row>
    <row r="22">
      <c r="A22" s="51">
        <f>IF(INDEX(TeamList,16)="","",INDEX(TeamList,16))</f>
        <v/>
      </c>
      <c r="B22" s="46">
        <f>IF($A22="","",IF(COUNTIFS('Absences'!$A$2:$A$13,$A22,'Absences'!$C$2:$C$13,"&lt;="&amp;B$6,'Absences'!$D$2:$D$13,"&gt;="&amp;B$6,'Absences'!$F$2:$F$13,"Yes")&gt;0,"Off",IF(SUMIFS('Shifts'!$F$2:$F$13,'Shifts'!$A$2:$A$13,$A22,'Shifts'!$B$2:$B$13,B$6)=0,"",SUMIFS('Shifts'!$F$2:$F$13,'Shifts'!$A$2:$A$13,$A22,'Shifts'!$B$2:$B$13,B$6))))</f>
        <v/>
      </c>
      <c r="C22" s="46">
        <f>IF($A22="","",IF(COUNTIFS('Absences'!$A$2:$A$13,$A22,'Absences'!$C$2:$C$13,"&lt;="&amp;C$6,'Absences'!$D$2:$D$13,"&gt;="&amp;C$6,'Absences'!$F$2:$F$13,"Yes")&gt;0,"Off",IF(SUMIFS('Shifts'!$F$2:$F$13,'Shifts'!$A$2:$A$13,$A22,'Shifts'!$B$2:$B$13,C$6)=0,"",SUMIFS('Shifts'!$F$2:$F$13,'Shifts'!$A$2:$A$13,$A22,'Shifts'!$B$2:$B$13,C$6))))</f>
        <v/>
      </c>
      <c r="D22" s="46">
        <f>IF($A22="","",IF(COUNTIFS('Absences'!$A$2:$A$13,$A22,'Absences'!$C$2:$C$13,"&lt;="&amp;D$6,'Absences'!$D$2:$D$13,"&gt;="&amp;D$6,'Absences'!$F$2:$F$13,"Yes")&gt;0,"Off",IF(SUMIFS('Shifts'!$F$2:$F$13,'Shifts'!$A$2:$A$13,$A22,'Shifts'!$B$2:$B$13,D$6)=0,"",SUMIFS('Shifts'!$F$2:$F$13,'Shifts'!$A$2:$A$13,$A22,'Shifts'!$B$2:$B$13,D$6))))</f>
        <v/>
      </c>
      <c r="E22" s="46">
        <f>IF($A22="","",IF(COUNTIFS('Absences'!$A$2:$A$13,$A22,'Absences'!$C$2:$C$13,"&lt;="&amp;E$6,'Absences'!$D$2:$D$13,"&gt;="&amp;E$6,'Absences'!$F$2:$F$13,"Yes")&gt;0,"Off",IF(SUMIFS('Shifts'!$F$2:$F$13,'Shifts'!$A$2:$A$13,$A22,'Shifts'!$B$2:$B$13,E$6)=0,"",SUMIFS('Shifts'!$F$2:$F$13,'Shifts'!$A$2:$A$13,$A22,'Shifts'!$B$2:$B$13,E$6))))</f>
        <v/>
      </c>
      <c r="F22" s="46">
        <f>IF($A22="","",IF(COUNTIFS('Absences'!$A$2:$A$13,$A22,'Absences'!$C$2:$C$13,"&lt;="&amp;F$6,'Absences'!$D$2:$D$13,"&gt;="&amp;F$6,'Absences'!$F$2:$F$13,"Yes")&gt;0,"Off",IF(SUMIFS('Shifts'!$F$2:$F$13,'Shifts'!$A$2:$A$13,$A22,'Shifts'!$B$2:$B$13,F$6)=0,"",SUMIFS('Shifts'!$F$2:$F$13,'Shifts'!$A$2:$A$13,$A22,'Shifts'!$B$2:$B$13,F$6))))</f>
        <v/>
      </c>
      <c r="G22" s="46">
        <f>IF($A22="","",IF(COUNTIFS('Absences'!$A$2:$A$13,$A22,'Absences'!$C$2:$C$13,"&lt;="&amp;G$6,'Absences'!$D$2:$D$13,"&gt;="&amp;G$6,'Absences'!$F$2:$F$13,"Yes")&gt;0,"Off",IF(SUMIFS('Shifts'!$F$2:$F$13,'Shifts'!$A$2:$A$13,$A22,'Shifts'!$B$2:$B$13,G$6)=0,"",SUMIFS('Shifts'!$F$2:$F$13,'Shifts'!$A$2:$A$13,$A22,'Shifts'!$B$2:$B$13,G$6))))</f>
        <v/>
      </c>
      <c r="H22" s="46">
        <f>IF($A22="","",IF(COUNTIFS('Absences'!$A$2:$A$13,$A22,'Absences'!$C$2:$C$13,"&lt;="&amp;H$6,'Absences'!$D$2:$D$13,"&gt;="&amp;H$6,'Absences'!$F$2:$F$13,"Yes")&gt;0,"Off",IF(SUMIFS('Shifts'!$F$2:$F$13,'Shifts'!$A$2:$A$13,$A22,'Shifts'!$B$2:$B$13,H$6)=0,"",SUMIFS('Shifts'!$F$2:$F$13,'Shifts'!$A$2:$A$13,$A22,'Shifts'!$B$2:$B$13,H$6))))</f>
        <v/>
      </c>
      <c r="I22" s="52">
        <f>IF($A22="","",SUM(B22:H22))</f>
        <v/>
      </c>
      <c r="J22" s="46">
        <f>IF($A22="","",N(INDEX(TeamHours,MATCH($A22,TeamList,0))))</f>
        <v/>
      </c>
      <c r="K22" s="46">
        <f>IF($A22="","",I22-J22)</f>
        <v/>
      </c>
    </row>
    <row r="23">
      <c r="A23" s="51">
        <f>IF(INDEX(TeamList,17)="","",INDEX(TeamList,17))</f>
        <v/>
      </c>
      <c r="B23" s="46">
        <f>IF($A23="","",IF(COUNTIFS('Absences'!$A$2:$A$13,$A23,'Absences'!$C$2:$C$13,"&lt;="&amp;B$6,'Absences'!$D$2:$D$13,"&gt;="&amp;B$6,'Absences'!$F$2:$F$13,"Yes")&gt;0,"Off",IF(SUMIFS('Shifts'!$F$2:$F$13,'Shifts'!$A$2:$A$13,$A23,'Shifts'!$B$2:$B$13,B$6)=0,"",SUMIFS('Shifts'!$F$2:$F$13,'Shifts'!$A$2:$A$13,$A23,'Shifts'!$B$2:$B$13,B$6))))</f>
        <v/>
      </c>
      <c r="C23" s="46">
        <f>IF($A23="","",IF(COUNTIFS('Absences'!$A$2:$A$13,$A23,'Absences'!$C$2:$C$13,"&lt;="&amp;C$6,'Absences'!$D$2:$D$13,"&gt;="&amp;C$6,'Absences'!$F$2:$F$13,"Yes")&gt;0,"Off",IF(SUMIFS('Shifts'!$F$2:$F$13,'Shifts'!$A$2:$A$13,$A23,'Shifts'!$B$2:$B$13,C$6)=0,"",SUMIFS('Shifts'!$F$2:$F$13,'Shifts'!$A$2:$A$13,$A23,'Shifts'!$B$2:$B$13,C$6))))</f>
        <v/>
      </c>
      <c r="D23" s="46">
        <f>IF($A23="","",IF(COUNTIFS('Absences'!$A$2:$A$13,$A23,'Absences'!$C$2:$C$13,"&lt;="&amp;D$6,'Absences'!$D$2:$D$13,"&gt;="&amp;D$6,'Absences'!$F$2:$F$13,"Yes")&gt;0,"Off",IF(SUMIFS('Shifts'!$F$2:$F$13,'Shifts'!$A$2:$A$13,$A23,'Shifts'!$B$2:$B$13,D$6)=0,"",SUMIFS('Shifts'!$F$2:$F$13,'Shifts'!$A$2:$A$13,$A23,'Shifts'!$B$2:$B$13,D$6))))</f>
        <v/>
      </c>
      <c r="E23" s="46">
        <f>IF($A23="","",IF(COUNTIFS('Absences'!$A$2:$A$13,$A23,'Absences'!$C$2:$C$13,"&lt;="&amp;E$6,'Absences'!$D$2:$D$13,"&gt;="&amp;E$6,'Absences'!$F$2:$F$13,"Yes")&gt;0,"Off",IF(SUMIFS('Shifts'!$F$2:$F$13,'Shifts'!$A$2:$A$13,$A23,'Shifts'!$B$2:$B$13,E$6)=0,"",SUMIFS('Shifts'!$F$2:$F$13,'Shifts'!$A$2:$A$13,$A23,'Shifts'!$B$2:$B$13,E$6))))</f>
        <v/>
      </c>
      <c r="F23" s="46">
        <f>IF($A23="","",IF(COUNTIFS('Absences'!$A$2:$A$13,$A23,'Absences'!$C$2:$C$13,"&lt;="&amp;F$6,'Absences'!$D$2:$D$13,"&gt;="&amp;F$6,'Absences'!$F$2:$F$13,"Yes")&gt;0,"Off",IF(SUMIFS('Shifts'!$F$2:$F$13,'Shifts'!$A$2:$A$13,$A23,'Shifts'!$B$2:$B$13,F$6)=0,"",SUMIFS('Shifts'!$F$2:$F$13,'Shifts'!$A$2:$A$13,$A23,'Shifts'!$B$2:$B$13,F$6))))</f>
        <v/>
      </c>
      <c r="G23" s="46">
        <f>IF($A23="","",IF(COUNTIFS('Absences'!$A$2:$A$13,$A23,'Absences'!$C$2:$C$13,"&lt;="&amp;G$6,'Absences'!$D$2:$D$13,"&gt;="&amp;G$6,'Absences'!$F$2:$F$13,"Yes")&gt;0,"Off",IF(SUMIFS('Shifts'!$F$2:$F$13,'Shifts'!$A$2:$A$13,$A23,'Shifts'!$B$2:$B$13,G$6)=0,"",SUMIFS('Shifts'!$F$2:$F$13,'Shifts'!$A$2:$A$13,$A23,'Shifts'!$B$2:$B$13,G$6))))</f>
        <v/>
      </c>
      <c r="H23" s="46">
        <f>IF($A23="","",IF(COUNTIFS('Absences'!$A$2:$A$13,$A23,'Absences'!$C$2:$C$13,"&lt;="&amp;H$6,'Absences'!$D$2:$D$13,"&gt;="&amp;H$6,'Absences'!$F$2:$F$13,"Yes")&gt;0,"Off",IF(SUMIFS('Shifts'!$F$2:$F$13,'Shifts'!$A$2:$A$13,$A23,'Shifts'!$B$2:$B$13,H$6)=0,"",SUMIFS('Shifts'!$F$2:$F$13,'Shifts'!$A$2:$A$13,$A23,'Shifts'!$B$2:$B$13,H$6))))</f>
        <v/>
      </c>
      <c r="I23" s="52">
        <f>IF($A23="","",SUM(B23:H23))</f>
        <v/>
      </c>
      <c r="J23" s="46">
        <f>IF($A23="","",N(INDEX(TeamHours,MATCH($A23,TeamList,0))))</f>
        <v/>
      </c>
      <c r="K23" s="46">
        <f>IF($A23="","",I23-J23)</f>
        <v/>
      </c>
    </row>
    <row r="24">
      <c r="A24" s="51">
        <f>IF(INDEX(TeamList,18)="","",INDEX(TeamList,18))</f>
        <v/>
      </c>
      <c r="B24" s="46">
        <f>IF($A24="","",IF(COUNTIFS('Absences'!$A$2:$A$13,$A24,'Absences'!$C$2:$C$13,"&lt;="&amp;B$6,'Absences'!$D$2:$D$13,"&gt;="&amp;B$6,'Absences'!$F$2:$F$13,"Yes")&gt;0,"Off",IF(SUMIFS('Shifts'!$F$2:$F$13,'Shifts'!$A$2:$A$13,$A24,'Shifts'!$B$2:$B$13,B$6)=0,"",SUMIFS('Shifts'!$F$2:$F$13,'Shifts'!$A$2:$A$13,$A24,'Shifts'!$B$2:$B$13,B$6))))</f>
        <v/>
      </c>
      <c r="C24" s="46">
        <f>IF($A24="","",IF(COUNTIFS('Absences'!$A$2:$A$13,$A24,'Absences'!$C$2:$C$13,"&lt;="&amp;C$6,'Absences'!$D$2:$D$13,"&gt;="&amp;C$6,'Absences'!$F$2:$F$13,"Yes")&gt;0,"Off",IF(SUMIFS('Shifts'!$F$2:$F$13,'Shifts'!$A$2:$A$13,$A24,'Shifts'!$B$2:$B$13,C$6)=0,"",SUMIFS('Shifts'!$F$2:$F$13,'Shifts'!$A$2:$A$13,$A24,'Shifts'!$B$2:$B$13,C$6))))</f>
        <v/>
      </c>
      <c r="D24" s="46">
        <f>IF($A24="","",IF(COUNTIFS('Absences'!$A$2:$A$13,$A24,'Absences'!$C$2:$C$13,"&lt;="&amp;D$6,'Absences'!$D$2:$D$13,"&gt;="&amp;D$6,'Absences'!$F$2:$F$13,"Yes")&gt;0,"Off",IF(SUMIFS('Shifts'!$F$2:$F$13,'Shifts'!$A$2:$A$13,$A24,'Shifts'!$B$2:$B$13,D$6)=0,"",SUMIFS('Shifts'!$F$2:$F$13,'Shifts'!$A$2:$A$13,$A24,'Shifts'!$B$2:$B$13,D$6))))</f>
        <v/>
      </c>
      <c r="E24" s="46">
        <f>IF($A24="","",IF(COUNTIFS('Absences'!$A$2:$A$13,$A24,'Absences'!$C$2:$C$13,"&lt;="&amp;E$6,'Absences'!$D$2:$D$13,"&gt;="&amp;E$6,'Absences'!$F$2:$F$13,"Yes")&gt;0,"Off",IF(SUMIFS('Shifts'!$F$2:$F$13,'Shifts'!$A$2:$A$13,$A24,'Shifts'!$B$2:$B$13,E$6)=0,"",SUMIFS('Shifts'!$F$2:$F$13,'Shifts'!$A$2:$A$13,$A24,'Shifts'!$B$2:$B$13,E$6))))</f>
        <v/>
      </c>
      <c r="F24" s="46">
        <f>IF($A24="","",IF(COUNTIFS('Absences'!$A$2:$A$13,$A24,'Absences'!$C$2:$C$13,"&lt;="&amp;F$6,'Absences'!$D$2:$D$13,"&gt;="&amp;F$6,'Absences'!$F$2:$F$13,"Yes")&gt;0,"Off",IF(SUMIFS('Shifts'!$F$2:$F$13,'Shifts'!$A$2:$A$13,$A24,'Shifts'!$B$2:$B$13,F$6)=0,"",SUMIFS('Shifts'!$F$2:$F$13,'Shifts'!$A$2:$A$13,$A24,'Shifts'!$B$2:$B$13,F$6))))</f>
        <v/>
      </c>
      <c r="G24" s="46">
        <f>IF($A24="","",IF(COUNTIFS('Absences'!$A$2:$A$13,$A24,'Absences'!$C$2:$C$13,"&lt;="&amp;G$6,'Absences'!$D$2:$D$13,"&gt;="&amp;G$6,'Absences'!$F$2:$F$13,"Yes")&gt;0,"Off",IF(SUMIFS('Shifts'!$F$2:$F$13,'Shifts'!$A$2:$A$13,$A24,'Shifts'!$B$2:$B$13,G$6)=0,"",SUMIFS('Shifts'!$F$2:$F$13,'Shifts'!$A$2:$A$13,$A24,'Shifts'!$B$2:$B$13,G$6))))</f>
        <v/>
      </c>
      <c r="H24" s="46">
        <f>IF($A24="","",IF(COUNTIFS('Absences'!$A$2:$A$13,$A24,'Absences'!$C$2:$C$13,"&lt;="&amp;H$6,'Absences'!$D$2:$D$13,"&gt;="&amp;H$6,'Absences'!$F$2:$F$13,"Yes")&gt;0,"Off",IF(SUMIFS('Shifts'!$F$2:$F$13,'Shifts'!$A$2:$A$13,$A24,'Shifts'!$B$2:$B$13,H$6)=0,"",SUMIFS('Shifts'!$F$2:$F$13,'Shifts'!$A$2:$A$13,$A24,'Shifts'!$B$2:$B$13,H$6))))</f>
        <v/>
      </c>
      <c r="I24" s="52">
        <f>IF($A24="","",SUM(B24:H24))</f>
        <v/>
      </c>
      <c r="J24" s="46">
        <f>IF($A24="","",N(INDEX(TeamHours,MATCH($A24,TeamList,0))))</f>
        <v/>
      </c>
      <c r="K24" s="46">
        <f>IF($A24="","",I24-J24)</f>
        <v/>
      </c>
    </row>
    <row r="25">
      <c r="A25" s="51">
        <f>IF(INDEX(TeamList,19)="","",INDEX(TeamList,19))</f>
        <v/>
      </c>
      <c r="B25" s="46">
        <f>IF($A25="","",IF(COUNTIFS('Absences'!$A$2:$A$13,$A25,'Absences'!$C$2:$C$13,"&lt;="&amp;B$6,'Absences'!$D$2:$D$13,"&gt;="&amp;B$6,'Absences'!$F$2:$F$13,"Yes")&gt;0,"Off",IF(SUMIFS('Shifts'!$F$2:$F$13,'Shifts'!$A$2:$A$13,$A25,'Shifts'!$B$2:$B$13,B$6)=0,"",SUMIFS('Shifts'!$F$2:$F$13,'Shifts'!$A$2:$A$13,$A25,'Shifts'!$B$2:$B$13,B$6))))</f>
        <v/>
      </c>
      <c r="C25" s="46">
        <f>IF($A25="","",IF(COUNTIFS('Absences'!$A$2:$A$13,$A25,'Absences'!$C$2:$C$13,"&lt;="&amp;C$6,'Absences'!$D$2:$D$13,"&gt;="&amp;C$6,'Absences'!$F$2:$F$13,"Yes")&gt;0,"Off",IF(SUMIFS('Shifts'!$F$2:$F$13,'Shifts'!$A$2:$A$13,$A25,'Shifts'!$B$2:$B$13,C$6)=0,"",SUMIFS('Shifts'!$F$2:$F$13,'Shifts'!$A$2:$A$13,$A25,'Shifts'!$B$2:$B$13,C$6))))</f>
        <v/>
      </c>
      <c r="D25" s="46">
        <f>IF($A25="","",IF(COUNTIFS('Absences'!$A$2:$A$13,$A25,'Absences'!$C$2:$C$13,"&lt;="&amp;D$6,'Absences'!$D$2:$D$13,"&gt;="&amp;D$6,'Absences'!$F$2:$F$13,"Yes")&gt;0,"Off",IF(SUMIFS('Shifts'!$F$2:$F$13,'Shifts'!$A$2:$A$13,$A25,'Shifts'!$B$2:$B$13,D$6)=0,"",SUMIFS('Shifts'!$F$2:$F$13,'Shifts'!$A$2:$A$13,$A25,'Shifts'!$B$2:$B$13,D$6))))</f>
        <v/>
      </c>
      <c r="E25" s="46">
        <f>IF($A25="","",IF(COUNTIFS('Absences'!$A$2:$A$13,$A25,'Absences'!$C$2:$C$13,"&lt;="&amp;E$6,'Absences'!$D$2:$D$13,"&gt;="&amp;E$6,'Absences'!$F$2:$F$13,"Yes")&gt;0,"Off",IF(SUMIFS('Shifts'!$F$2:$F$13,'Shifts'!$A$2:$A$13,$A25,'Shifts'!$B$2:$B$13,E$6)=0,"",SUMIFS('Shifts'!$F$2:$F$13,'Shifts'!$A$2:$A$13,$A25,'Shifts'!$B$2:$B$13,E$6))))</f>
        <v/>
      </c>
      <c r="F25" s="46">
        <f>IF($A25="","",IF(COUNTIFS('Absences'!$A$2:$A$13,$A25,'Absences'!$C$2:$C$13,"&lt;="&amp;F$6,'Absences'!$D$2:$D$13,"&gt;="&amp;F$6,'Absences'!$F$2:$F$13,"Yes")&gt;0,"Off",IF(SUMIFS('Shifts'!$F$2:$F$13,'Shifts'!$A$2:$A$13,$A25,'Shifts'!$B$2:$B$13,F$6)=0,"",SUMIFS('Shifts'!$F$2:$F$13,'Shifts'!$A$2:$A$13,$A25,'Shifts'!$B$2:$B$13,F$6))))</f>
        <v/>
      </c>
      <c r="G25" s="46">
        <f>IF($A25="","",IF(COUNTIFS('Absences'!$A$2:$A$13,$A25,'Absences'!$C$2:$C$13,"&lt;="&amp;G$6,'Absences'!$D$2:$D$13,"&gt;="&amp;G$6,'Absences'!$F$2:$F$13,"Yes")&gt;0,"Off",IF(SUMIFS('Shifts'!$F$2:$F$13,'Shifts'!$A$2:$A$13,$A25,'Shifts'!$B$2:$B$13,G$6)=0,"",SUMIFS('Shifts'!$F$2:$F$13,'Shifts'!$A$2:$A$13,$A25,'Shifts'!$B$2:$B$13,G$6))))</f>
        <v/>
      </c>
      <c r="H25" s="46">
        <f>IF($A25="","",IF(COUNTIFS('Absences'!$A$2:$A$13,$A25,'Absences'!$C$2:$C$13,"&lt;="&amp;H$6,'Absences'!$D$2:$D$13,"&gt;="&amp;H$6,'Absences'!$F$2:$F$13,"Yes")&gt;0,"Off",IF(SUMIFS('Shifts'!$F$2:$F$13,'Shifts'!$A$2:$A$13,$A25,'Shifts'!$B$2:$B$13,H$6)=0,"",SUMIFS('Shifts'!$F$2:$F$13,'Shifts'!$A$2:$A$13,$A25,'Shifts'!$B$2:$B$13,H$6))))</f>
        <v/>
      </c>
      <c r="I25" s="52">
        <f>IF($A25="","",SUM(B25:H25))</f>
        <v/>
      </c>
      <c r="J25" s="46">
        <f>IF($A25="","",N(INDEX(TeamHours,MATCH($A25,TeamList,0))))</f>
        <v/>
      </c>
      <c r="K25" s="46">
        <f>IF($A25="","",I25-J25)</f>
        <v/>
      </c>
    </row>
    <row r="26">
      <c r="A26" s="51">
        <f>IF(INDEX(TeamList,20)="","",INDEX(TeamList,20))</f>
        <v/>
      </c>
      <c r="B26" s="46">
        <f>IF($A26="","",IF(COUNTIFS('Absences'!$A$2:$A$13,$A26,'Absences'!$C$2:$C$13,"&lt;="&amp;B$6,'Absences'!$D$2:$D$13,"&gt;="&amp;B$6,'Absences'!$F$2:$F$13,"Yes")&gt;0,"Off",IF(SUMIFS('Shifts'!$F$2:$F$13,'Shifts'!$A$2:$A$13,$A26,'Shifts'!$B$2:$B$13,B$6)=0,"",SUMIFS('Shifts'!$F$2:$F$13,'Shifts'!$A$2:$A$13,$A26,'Shifts'!$B$2:$B$13,B$6))))</f>
        <v/>
      </c>
      <c r="C26" s="46">
        <f>IF($A26="","",IF(COUNTIFS('Absences'!$A$2:$A$13,$A26,'Absences'!$C$2:$C$13,"&lt;="&amp;C$6,'Absences'!$D$2:$D$13,"&gt;="&amp;C$6,'Absences'!$F$2:$F$13,"Yes")&gt;0,"Off",IF(SUMIFS('Shifts'!$F$2:$F$13,'Shifts'!$A$2:$A$13,$A26,'Shifts'!$B$2:$B$13,C$6)=0,"",SUMIFS('Shifts'!$F$2:$F$13,'Shifts'!$A$2:$A$13,$A26,'Shifts'!$B$2:$B$13,C$6))))</f>
        <v/>
      </c>
      <c r="D26" s="46">
        <f>IF($A26="","",IF(COUNTIFS('Absences'!$A$2:$A$13,$A26,'Absences'!$C$2:$C$13,"&lt;="&amp;D$6,'Absences'!$D$2:$D$13,"&gt;="&amp;D$6,'Absences'!$F$2:$F$13,"Yes")&gt;0,"Off",IF(SUMIFS('Shifts'!$F$2:$F$13,'Shifts'!$A$2:$A$13,$A26,'Shifts'!$B$2:$B$13,D$6)=0,"",SUMIFS('Shifts'!$F$2:$F$13,'Shifts'!$A$2:$A$13,$A26,'Shifts'!$B$2:$B$13,D$6))))</f>
        <v/>
      </c>
      <c r="E26" s="46">
        <f>IF($A26="","",IF(COUNTIFS('Absences'!$A$2:$A$13,$A26,'Absences'!$C$2:$C$13,"&lt;="&amp;E$6,'Absences'!$D$2:$D$13,"&gt;="&amp;E$6,'Absences'!$F$2:$F$13,"Yes")&gt;0,"Off",IF(SUMIFS('Shifts'!$F$2:$F$13,'Shifts'!$A$2:$A$13,$A26,'Shifts'!$B$2:$B$13,E$6)=0,"",SUMIFS('Shifts'!$F$2:$F$13,'Shifts'!$A$2:$A$13,$A26,'Shifts'!$B$2:$B$13,E$6))))</f>
        <v/>
      </c>
      <c r="F26" s="46">
        <f>IF($A26="","",IF(COUNTIFS('Absences'!$A$2:$A$13,$A26,'Absences'!$C$2:$C$13,"&lt;="&amp;F$6,'Absences'!$D$2:$D$13,"&gt;="&amp;F$6,'Absences'!$F$2:$F$13,"Yes")&gt;0,"Off",IF(SUMIFS('Shifts'!$F$2:$F$13,'Shifts'!$A$2:$A$13,$A26,'Shifts'!$B$2:$B$13,F$6)=0,"",SUMIFS('Shifts'!$F$2:$F$13,'Shifts'!$A$2:$A$13,$A26,'Shifts'!$B$2:$B$13,F$6))))</f>
        <v/>
      </c>
      <c r="G26" s="46">
        <f>IF($A26="","",IF(COUNTIFS('Absences'!$A$2:$A$13,$A26,'Absences'!$C$2:$C$13,"&lt;="&amp;G$6,'Absences'!$D$2:$D$13,"&gt;="&amp;G$6,'Absences'!$F$2:$F$13,"Yes")&gt;0,"Off",IF(SUMIFS('Shifts'!$F$2:$F$13,'Shifts'!$A$2:$A$13,$A26,'Shifts'!$B$2:$B$13,G$6)=0,"",SUMIFS('Shifts'!$F$2:$F$13,'Shifts'!$A$2:$A$13,$A26,'Shifts'!$B$2:$B$13,G$6))))</f>
        <v/>
      </c>
      <c r="H26" s="46">
        <f>IF($A26="","",IF(COUNTIFS('Absences'!$A$2:$A$13,$A26,'Absences'!$C$2:$C$13,"&lt;="&amp;H$6,'Absences'!$D$2:$D$13,"&gt;="&amp;H$6,'Absences'!$F$2:$F$13,"Yes")&gt;0,"Off",IF(SUMIFS('Shifts'!$F$2:$F$13,'Shifts'!$A$2:$A$13,$A26,'Shifts'!$B$2:$B$13,H$6)=0,"",SUMIFS('Shifts'!$F$2:$F$13,'Shifts'!$A$2:$A$13,$A26,'Shifts'!$B$2:$B$13,H$6))))</f>
        <v/>
      </c>
      <c r="I26" s="52">
        <f>IF($A26="","",SUM(B26:H26))</f>
        <v/>
      </c>
      <c r="J26" s="46">
        <f>IF($A26="","",N(INDEX(TeamHours,MATCH($A26,TeamList,0))))</f>
        <v/>
      </c>
      <c r="K26" s="46">
        <f>IF($A26="","",I26-J26)</f>
        <v/>
      </c>
    </row>
    <row r="27">
      <c r="A27" s="51">
        <f>IF(INDEX(TeamList,21)="","",INDEX(TeamList,21))</f>
        <v/>
      </c>
      <c r="B27" s="46">
        <f>IF($A27="","",IF(COUNTIFS('Absences'!$A$2:$A$13,$A27,'Absences'!$C$2:$C$13,"&lt;="&amp;B$6,'Absences'!$D$2:$D$13,"&gt;="&amp;B$6,'Absences'!$F$2:$F$13,"Yes")&gt;0,"Off",IF(SUMIFS('Shifts'!$F$2:$F$13,'Shifts'!$A$2:$A$13,$A27,'Shifts'!$B$2:$B$13,B$6)=0,"",SUMIFS('Shifts'!$F$2:$F$13,'Shifts'!$A$2:$A$13,$A27,'Shifts'!$B$2:$B$13,B$6))))</f>
        <v/>
      </c>
      <c r="C27" s="46">
        <f>IF($A27="","",IF(COUNTIFS('Absences'!$A$2:$A$13,$A27,'Absences'!$C$2:$C$13,"&lt;="&amp;C$6,'Absences'!$D$2:$D$13,"&gt;="&amp;C$6,'Absences'!$F$2:$F$13,"Yes")&gt;0,"Off",IF(SUMIFS('Shifts'!$F$2:$F$13,'Shifts'!$A$2:$A$13,$A27,'Shifts'!$B$2:$B$13,C$6)=0,"",SUMIFS('Shifts'!$F$2:$F$13,'Shifts'!$A$2:$A$13,$A27,'Shifts'!$B$2:$B$13,C$6))))</f>
        <v/>
      </c>
      <c r="D27" s="46">
        <f>IF($A27="","",IF(COUNTIFS('Absences'!$A$2:$A$13,$A27,'Absences'!$C$2:$C$13,"&lt;="&amp;D$6,'Absences'!$D$2:$D$13,"&gt;="&amp;D$6,'Absences'!$F$2:$F$13,"Yes")&gt;0,"Off",IF(SUMIFS('Shifts'!$F$2:$F$13,'Shifts'!$A$2:$A$13,$A27,'Shifts'!$B$2:$B$13,D$6)=0,"",SUMIFS('Shifts'!$F$2:$F$13,'Shifts'!$A$2:$A$13,$A27,'Shifts'!$B$2:$B$13,D$6))))</f>
        <v/>
      </c>
      <c r="E27" s="46">
        <f>IF($A27="","",IF(COUNTIFS('Absences'!$A$2:$A$13,$A27,'Absences'!$C$2:$C$13,"&lt;="&amp;E$6,'Absences'!$D$2:$D$13,"&gt;="&amp;E$6,'Absences'!$F$2:$F$13,"Yes")&gt;0,"Off",IF(SUMIFS('Shifts'!$F$2:$F$13,'Shifts'!$A$2:$A$13,$A27,'Shifts'!$B$2:$B$13,E$6)=0,"",SUMIFS('Shifts'!$F$2:$F$13,'Shifts'!$A$2:$A$13,$A27,'Shifts'!$B$2:$B$13,E$6))))</f>
        <v/>
      </c>
      <c r="F27" s="46">
        <f>IF($A27="","",IF(COUNTIFS('Absences'!$A$2:$A$13,$A27,'Absences'!$C$2:$C$13,"&lt;="&amp;F$6,'Absences'!$D$2:$D$13,"&gt;="&amp;F$6,'Absences'!$F$2:$F$13,"Yes")&gt;0,"Off",IF(SUMIFS('Shifts'!$F$2:$F$13,'Shifts'!$A$2:$A$13,$A27,'Shifts'!$B$2:$B$13,F$6)=0,"",SUMIFS('Shifts'!$F$2:$F$13,'Shifts'!$A$2:$A$13,$A27,'Shifts'!$B$2:$B$13,F$6))))</f>
        <v/>
      </c>
      <c r="G27" s="46">
        <f>IF($A27="","",IF(COUNTIFS('Absences'!$A$2:$A$13,$A27,'Absences'!$C$2:$C$13,"&lt;="&amp;G$6,'Absences'!$D$2:$D$13,"&gt;="&amp;G$6,'Absences'!$F$2:$F$13,"Yes")&gt;0,"Off",IF(SUMIFS('Shifts'!$F$2:$F$13,'Shifts'!$A$2:$A$13,$A27,'Shifts'!$B$2:$B$13,G$6)=0,"",SUMIFS('Shifts'!$F$2:$F$13,'Shifts'!$A$2:$A$13,$A27,'Shifts'!$B$2:$B$13,G$6))))</f>
        <v/>
      </c>
      <c r="H27" s="46">
        <f>IF($A27="","",IF(COUNTIFS('Absences'!$A$2:$A$13,$A27,'Absences'!$C$2:$C$13,"&lt;="&amp;H$6,'Absences'!$D$2:$D$13,"&gt;="&amp;H$6,'Absences'!$F$2:$F$13,"Yes")&gt;0,"Off",IF(SUMIFS('Shifts'!$F$2:$F$13,'Shifts'!$A$2:$A$13,$A27,'Shifts'!$B$2:$B$13,H$6)=0,"",SUMIFS('Shifts'!$F$2:$F$13,'Shifts'!$A$2:$A$13,$A27,'Shifts'!$B$2:$B$13,H$6))))</f>
        <v/>
      </c>
      <c r="I27" s="52">
        <f>IF($A27="","",SUM(B27:H27))</f>
        <v/>
      </c>
      <c r="J27" s="46">
        <f>IF($A27="","",N(INDEX(TeamHours,MATCH($A27,TeamList,0))))</f>
        <v/>
      </c>
      <c r="K27" s="46">
        <f>IF($A27="","",I27-J27)</f>
        <v/>
      </c>
    </row>
    <row r="28">
      <c r="A28" s="51">
        <f>IF(INDEX(TeamList,22)="","",INDEX(TeamList,22))</f>
        <v/>
      </c>
      <c r="B28" s="46">
        <f>IF($A28="","",IF(COUNTIFS('Absences'!$A$2:$A$13,$A28,'Absences'!$C$2:$C$13,"&lt;="&amp;B$6,'Absences'!$D$2:$D$13,"&gt;="&amp;B$6,'Absences'!$F$2:$F$13,"Yes")&gt;0,"Off",IF(SUMIFS('Shifts'!$F$2:$F$13,'Shifts'!$A$2:$A$13,$A28,'Shifts'!$B$2:$B$13,B$6)=0,"",SUMIFS('Shifts'!$F$2:$F$13,'Shifts'!$A$2:$A$13,$A28,'Shifts'!$B$2:$B$13,B$6))))</f>
        <v/>
      </c>
      <c r="C28" s="46">
        <f>IF($A28="","",IF(COUNTIFS('Absences'!$A$2:$A$13,$A28,'Absences'!$C$2:$C$13,"&lt;="&amp;C$6,'Absences'!$D$2:$D$13,"&gt;="&amp;C$6,'Absences'!$F$2:$F$13,"Yes")&gt;0,"Off",IF(SUMIFS('Shifts'!$F$2:$F$13,'Shifts'!$A$2:$A$13,$A28,'Shifts'!$B$2:$B$13,C$6)=0,"",SUMIFS('Shifts'!$F$2:$F$13,'Shifts'!$A$2:$A$13,$A28,'Shifts'!$B$2:$B$13,C$6))))</f>
        <v/>
      </c>
      <c r="D28" s="46">
        <f>IF($A28="","",IF(COUNTIFS('Absences'!$A$2:$A$13,$A28,'Absences'!$C$2:$C$13,"&lt;="&amp;D$6,'Absences'!$D$2:$D$13,"&gt;="&amp;D$6,'Absences'!$F$2:$F$13,"Yes")&gt;0,"Off",IF(SUMIFS('Shifts'!$F$2:$F$13,'Shifts'!$A$2:$A$13,$A28,'Shifts'!$B$2:$B$13,D$6)=0,"",SUMIFS('Shifts'!$F$2:$F$13,'Shifts'!$A$2:$A$13,$A28,'Shifts'!$B$2:$B$13,D$6))))</f>
        <v/>
      </c>
      <c r="E28" s="46">
        <f>IF($A28="","",IF(COUNTIFS('Absences'!$A$2:$A$13,$A28,'Absences'!$C$2:$C$13,"&lt;="&amp;E$6,'Absences'!$D$2:$D$13,"&gt;="&amp;E$6,'Absences'!$F$2:$F$13,"Yes")&gt;0,"Off",IF(SUMIFS('Shifts'!$F$2:$F$13,'Shifts'!$A$2:$A$13,$A28,'Shifts'!$B$2:$B$13,E$6)=0,"",SUMIFS('Shifts'!$F$2:$F$13,'Shifts'!$A$2:$A$13,$A28,'Shifts'!$B$2:$B$13,E$6))))</f>
        <v/>
      </c>
      <c r="F28" s="46">
        <f>IF($A28="","",IF(COUNTIFS('Absences'!$A$2:$A$13,$A28,'Absences'!$C$2:$C$13,"&lt;="&amp;F$6,'Absences'!$D$2:$D$13,"&gt;="&amp;F$6,'Absences'!$F$2:$F$13,"Yes")&gt;0,"Off",IF(SUMIFS('Shifts'!$F$2:$F$13,'Shifts'!$A$2:$A$13,$A28,'Shifts'!$B$2:$B$13,F$6)=0,"",SUMIFS('Shifts'!$F$2:$F$13,'Shifts'!$A$2:$A$13,$A28,'Shifts'!$B$2:$B$13,F$6))))</f>
        <v/>
      </c>
      <c r="G28" s="46">
        <f>IF($A28="","",IF(COUNTIFS('Absences'!$A$2:$A$13,$A28,'Absences'!$C$2:$C$13,"&lt;="&amp;G$6,'Absences'!$D$2:$D$13,"&gt;="&amp;G$6,'Absences'!$F$2:$F$13,"Yes")&gt;0,"Off",IF(SUMIFS('Shifts'!$F$2:$F$13,'Shifts'!$A$2:$A$13,$A28,'Shifts'!$B$2:$B$13,G$6)=0,"",SUMIFS('Shifts'!$F$2:$F$13,'Shifts'!$A$2:$A$13,$A28,'Shifts'!$B$2:$B$13,G$6))))</f>
        <v/>
      </c>
      <c r="H28" s="46">
        <f>IF($A28="","",IF(COUNTIFS('Absences'!$A$2:$A$13,$A28,'Absences'!$C$2:$C$13,"&lt;="&amp;H$6,'Absences'!$D$2:$D$13,"&gt;="&amp;H$6,'Absences'!$F$2:$F$13,"Yes")&gt;0,"Off",IF(SUMIFS('Shifts'!$F$2:$F$13,'Shifts'!$A$2:$A$13,$A28,'Shifts'!$B$2:$B$13,H$6)=0,"",SUMIFS('Shifts'!$F$2:$F$13,'Shifts'!$A$2:$A$13,$A28,'Shifts'!$B$2:$B$13,H$6))))</f>
        <v/>
      </c>
      <c r="I28" s="52">
        <f>IF($A28="","",SUM(B28:H28))</f>
        <v/>
      </c>
      <c r="J28" s="46">
        <f>IF($A28="","",N(INDEX(TeamHours,MATCH($A28,TeamList,0))))</f>
        <v/>
      </c>
      <c r="K28" s="46">
        <f>IF($A28="","",I28-J28)</f>
        <v/>
      </c>
    </row>
    <row r="29">
      <c r="A29" s="51">
        <f>IF(INDEX(TeamList,23)="","",INDEX(TeamList,23))</f>
        <v/>
      </c>
      <c r="B29" s="46">
        <f>IF($A29="","",IF(COUNTIFS('Absences'!$A$2:$A$13,$A29,'Absences'!$C$2:$C$13,"&lt;="&amp;B$6,'Absences'!$D$2:$D$13,"&gt;="&amp;B$6,'Absences'!$F$2:$F$13,"Yes")&gt;0,"Off",IF(SUMIFS('Shifts'!$F$2:$F$13,'Shifts'!$A$2:$A$13,$A29,'Shifts'!$B$2:$B$13,B$6)=0,"",SUMIFS('Shifts'!$F$2:$F$13,'Shifts'!$A$2:$A$13,$A29,'Shifts'!$B$2:$B$13,B$6))))</f>
        <v/>
      </c>
      <c r="C29" s="46">
        <f>IF($A29="","",IF(COUNTIFS('Absences'!$A$2:$A$13,$A29,'Absences'!$C$2:$C$13,"&lt;="&amp;C$6,'Absences'!$D$2:$D$13,"&gt;="&amp;C$6,'Absences'!$F$2:$F$13,"Yes")&gt;0,"Off",IF(SUMIFS('Shifts'!$F$2:$F$13,'Shifts'!$A$2:$A$13,$A29,'Shifts'!$B$2:$B$13,C$6)=0,"",SUMIFS('Shifts'!$F$2:$F$13,'Shifts'!$A$2:$A$13,$A29,'Shifts'!$B$2:$B$13,C$6))))</f>
        <v/>
      </c>
      <c r="D29" s="46">
        <f>IF($A29="","",IF(COUNTIFS('Absences'!$A$2:$A$13,$A29,'Absences'!$C$2:$C$13,"&lt;="&amp;D$6,'Absences'!$D$2:$D$13,"&gt;="&amp;D$6,'Absences'!$F$2:$F$13,"Yes")&gt;0,"Off",IF(SUMIFS('Shifts'!$F$2:$F$13,'Shifts'!$A$2:$A$13,$A29,'Shifts'!$B$2:$B$13,D$6)=0,"",SUMIFS('Shifts'!$F$2:$F$13,'Shifts'!$A$2:$A$13,$A29,'Shifts'!$B$2:$B$13,D$6))))</f>
        <v/>
      </c>
      <c r="E29" s="46">
        <f>IF($A29="","",IF(COUNTIFS('Absences'!$A$2:$A$13,$A29,'Absences'!$C$2:$C$13,"&lt;="&amp;E$6,'Absences'!$D$2:$D$13,"&gt;="&amp;E$6,'Absences'!$F$2:$F$13,"Yes")&gt;0,"Off",IF(SUMIFS('Shifts'!$F$2:$F$13,'Shifts'!$A$2:$A$13,$A29,'Shifts'!$B$2:$B$13,E$6)=0,"",SUMIFS('Shifts'!$F$2:$F$13,'Shifts'!$A$2:$A$13,$A29,'Shifts'!$B$2:$B$13,E$6))))</f>
        <v/>
      </c>
      <c r="F29" s="46">
        <f>IF($A29="","",IF(COUNTIFS('Absences'!$A$2:$A$13,$A29,'Absences'!$C$2:$C$13,"&lt;="&amp;F$6,'Absences'!$D$2:$D$13,"&gt;="&amp;F$6,'Absences'!$F$2:$F$13,"Yes")&gt;0,"Off",IF(SUMIFS('Shifts'!$F$2:$F$13,'Shifts'!$A$2:$A$13,$A29,'Shifts'!$B$2:$B$13,F$6)=0,"",SUMIFS('Shifts'!$F$2:$F$13,'Shifts'!$A$2:$A$13,$A29,'Shifts'!$B$2:$B$13,F$6))))</f>
        <v/>
      </c>
      <c r="G29" s="46">
        <f>IF($A29="","",IF(COUNTIFS('Absences'!$A$2:$A$13,$A29,'Absences'!$C$2:$C$13,"&lt;="&amp;G$6,'Absences'!$D$2:$D$13,"&gt;="&amp;G$6,'Absences'!$F$2:$F$13,"Yes")&gt;0,"Off",IF(SUMIFS('Shifts'!$F$2:$F$13,'Shifts'!$A$2:$A$13,$A29,'Shifts'!$B$2:$B$13,G$6)=0,"",SUMIFS('Shifts'!$F$2:$F$13,'Shifts'!$A$2:$A$13,$A29,'Shifts'!$B$2:$B$13,G$6))))</f>
        <v/>
      </c>
      <c r="H29" s="46">
        <f>IF($A29="","",IF(COUNTIFS('Absences'!$A$2:$A$13,$A29,'Absences'!$C$2:$C$13,"&lt;="&amp;H$6,'Absences'!$D$2:$D$13,"&gt;="&amp;H$6,'Absences'!$F$2:$F$13,"Yes")&gt;0,"Off",IF(SUMIFS('Shifts'!$F$2:$F$13,'Shifts'!$A$2:$A$13,$A29,'Shifts'!$B$2:$B$13,H$6)=0,"",SUMIFS('Shifts'!$F$2:$F$13,'Shifts'!$A$2:$A$13,$A29,'Shifts'!$B$2:$B$13,H$6))))</f>
        <v/>
      </c>
      <c r="I29" s="52">
        <f>IF($A29="","",SUM(B29:H29))</f>
        <v/>
      </c>
      <c r="J29" s="46">
        <f>IF($A29="","",N(INDEX(TeamHours,MATCH($A29,TeamList,0))))</f>
        <v/>
      </c>
      <c r="K29" s="46">
        <f>IF($A29="","",I29-J29)</f>
        <v/>
      </c>
    </row>
    <row r="30">
      <c r="A30" s="51">
        <f>IF(INDEX(TeamList,24)="","",INDEX(TeamList,24))</f>
        <v/>
      </c>
      <c r="B30" s="46">
        <f>IF($A30="","",IF(COUNTIFS('Absences'!$A$2:$A$13,$A30,'Absences'!$C$2:$C$13,"&lt;="&amp;B$6,'Absences'!$D$2:$D$13,"&gt;="&amp;B$6,'Absences'!$F$2:$F$13,"Yes")&gt;0,"Off",IF(SUMIFS('Shifts'!$F$2:$F$13,'Shifts'!$A$2:$A$13,$A30,'Shifts'!$B$2:$B$13,B$6)=0,"",SUMIFS('Shifts'!$F$2:$F$13,'Shifts'!$A$2:$A$13,$A30,'Shifts'!$B$2:$B$13,B$6))))</f>
        <v/>
      </c>
      <c r="C30" s="46">
        <f>IF($A30="","",IF(COUNTIFS('Absences'!$A$2:$A$13,$A30,'Absences'!$C$2:$C$13,"&lt;="&amp;C$6,'Absences'!$D$2:$D$13,"&gt;="&amp;C$6,'Absences'!$F$2:$F$13,"Yes")&gt;0,"Off",IF(SUMIFS('Shifts'!$F$2:$F$13,'Shifts'!$A$2:$A$13,$A30,'Shifts'!$B$2:$B$13,C$6)=0,"",SUMIFS('Shifts'!$F$2:$F$13,'Shifts'!$A$2:$A$13,$A30,'Shifts'!$B$2:$B$13,C$6))))</f>
        <v/>
      </c>
      <c r="D30" s="46">
        <f>IF($A30="","",IF(COUNTIFS('Absences'!$A$2:$A$13,$A30,'Absences'!$C$2:$C$13,"&lt;="&amp;D$6,'Absences'!$D$2:$D$13,"&gt;="&amp;D$6,'Absences'!$F$2:$F$13,"Yes")&gt;0,"Off",IF(SUMIFS('Shifts'!$F$2:$F$13,'Shifts'!$A$2:$A$13,$A30,'Shifts'!$B$2:$B$13,D$6)=0,"",SUMIFS('Shifts'!$F$2:$F$13,'Shifts'!$A$2:$A$13,$A30,'Shifts'!$B$2:$B$13,D$6))))</f>
        <v/>
      </c>
      <c r="E30" s="46">
        <f>IF($A30="","",IF(COUNTIFS('Absences'!$A$2:$A$13,$A30,'Absences'!$C$2:$C$13,"&lt;="&amp;E$6,'Absences'!$D$2:$D$13,"&gt;="&amp;E$6,'Absences'!$F$2:$F$13,"Yes")&gt;0,"Off",IF(SUMIFS('Shifts'!$F$2:$F$13,'Shifts'!$A$2:$A$13,$A30,'Shifts'!$B$2:$B$13,E$6)=0,"",SUMIFS('Shifts'!$F$2:$F$13,'Shifts'!$A$2:$A$13,$A30,'Shifts'!$B$2:$B$13,E$6))))</f>
        <v/>
      </c>
      <c r="F30" s="46">
        <f>IF($A30="","",IF(COUNTIFS('Absences'!$A$2:$A$13,$A30,'Absences'!$C$2:$C$13,"&lt;="&amp;F$6,'Absences'!$D$2:$D$13,"&gt;="&amp;F$6,'Absences'!$F$2:$F$13,"Yes")&gt;0,"Off",IF(SUMIFS('Shifts'!$F$2:$F$13,'Shifts'!$A$2:$A$13,$A30,'Shifts'!$B$2:$B$13,F$6)=0,"",SUMIFS('Shifts'!$F$2:$F$13,'Shifts'!$A$2:$A$13,$A30,'Shifts'!$B$2:$B$13,F$6))))</f>
        <v/>
      </c>
      <c r="G30" s="46">
        <f>IF($A30="","",IF(COUNTIFS('Absences'!$A$2:$A$13,$A30,'Absences'!$C$2:$C$13,"&lt;="&amp;G$6,'Absences'!$D$2:$D$13,"&gt;="&amp;G$6,'Absences'!$F$2:$F$13,"Yes")&gt;0,"Off",IF(SUMIFS('Shifts'!$F$2:$F$13,'Shifts'!$A$2:$A$13,$A30,'Shifts'!$B$2:$B$13,G$6)=0,"",SUMIFS('Shifts'!$F$2:$F$13,'Shifts'!$A$2:$A$13,$A30,'Shifts'!$B$2:$B$13,G$6))))</f>
        <v/>
      </c>
      <c r="H30" s="46">
        <f>IF($A30="","",IF(COUNTIFS('Absences'!$A$2:$A$13,$A30,'Absences'!$C$2:$C$13,"&lt;="&amp;H$6,'Absences'!$D$2:$D$13,"&gt;="&amp;H$6,'Absences'!$F$2:$F$13,"Yes")&gt;0,"Off",IF(SUMIFS('Shifts'!$F$2:$F$13,'Shifts'!$A$2:$A$13,$A30,'Shifts'!$B$2:$B$13,H$6)=0,"",SUMIFS('Shifts'!$F$2:$F$13,'Shifts'!$A$2:$A$13,$A30,'Shifts'!$B$2:$B$13,H$6))))</f>
        <v/>
      </c>
      <c r="I30" s="52">
        <f>IF($A30="","",SUM(B30:H30))</f>
        <v/>
      </c>
      <c r="J30" s="46">
        <f>IF($A30="","",N(INDEX(TeamHours,MATCH($A30,TeamList,0))))</f>
        <v/>
      </c>
      <c r="K30" s="46">
        <f>IF($A30="","",I30-J30)</f>
        <v/>
      </c>
    </row>
    <row r="31">
      <c r="A31" s="51">
        <f>IF(INDEX(TeamList,25)="","",INDEX(TeamList,25))</f>
        <v/>
      </c>
      <c r="B31" s="46">
        <f>IF($A31="","",IF(COUNTIFS('Absences'!$A$2:$A$13,$A31,'Absences'!$C$2:$C$13,"&lt;="&amp;B$6,'Absences'!$D$2:$D$13,"&gt;="&amp;B$6,'Absences'!$F$2:$F$13,"Yes")&gt;0,"Off",IF(SUMIFS('Shifts'!$F$2:$F$13,'Shifts'!$A$2:$A$13,$A31,'Shifts'!$B$2:$B$13,B$6)=0,"",SUMIFS('Shifts'!$F$2:$F$13,'Shifts'!$A$2:$A$13,$A31,'Shifts'!$B$2:$B$13,B$6))))</f>
        <v/>
      </c>
      <c r="C31" s="46">
        <f>IF($A31="","",IF(COUNTIFS('Absences'!$A$2:$A$13,$A31,'Absences'!$C$2:$C$13,"&lt;="&amp;C$6,'Absences'!$D$2:$D$13,"&gt;="&amp;C$6,'Absences'!$F$2:$F$13,"Yes")&gt;0,"Off",IF(SUMIFS('Shifts'!$F$2:$F$13,'Shifts'!$A$2:$A$13,$A31,'Shifts'!$B$2:$B$13,C$6)=0,"",SUMIFS('Shifts'!$F$2:$F$13,'Shifts'!$A$2:$A$13,$A31,'Shifts'!$B$2:$B$13,C$6))))</f>
        <v/>
      </c>
      <c r="D31" s="46">
        <f>IF($A31="","",IF(COUNTIFS('Absences'!$A$2:$A$13,$A31,'Absences'!$C$2:$C$13,"&lt;="&amp;D$6,'Absences'!$D$2:$D$13,"&gt;="&amp;D$6,'Absences'!$F$2:$F$13,"Yes")&gt;0,"Off",IF(SUMIFS('Shifts'!$F$2:$F$13,'Shifts'!$A$2:$A$13,$A31,'Shifts'!$B$2:$B$13,D$6)=0,"",SUMIFS('Shifts'!$F$2:$F$13,'Shifts'!$A$2:$A$13,$A31,'Shifts'!$B$2:$B$13,D$6))))</f>
        <v/>
      </c>
      <c r="E31" s="46">
        <f>IF($A31="","",IF(COUNTIFS('Absences'!$A$2:$A$13,$A31,'Absences'!$C$2:$C$13,"&lt;="&amp;E$6,'Absences'!$D$2:$D$13,"&gt;="&amp;E$6,'Absences'!$F$2:$F$13,"Yes")&gt;0,"Off",IF(SUMIFS('Shifts'!$F$2:$F$13,'Shifts'!$A$2:$A$13,$A31,'Shifts'!$B$2:$B$13,E$6)=0,"",SUMIFS('Shifts'!$F$2:$F$13,'Shifts'!$A$2:$A$13,$A31,'Shifts'!$B$2:$B$13,E$6))))</f>
        <v/>
      </c>
      <c r="F31" s="46">
        <f>IF($A31="","",IF(COUNTIFS('Absences'!$A$2:$A$13,$A31,'Absences'!$C$2:$C$13,"&lt;="&amp;F$6,'Absences'!$D$2:$D$13,"&gt;="&amp;F$6,'Absences'!$F$2:$F$13,"Yes")&gt;0,"Off",IF(SUMIFS('Shifts'!$F$2:$F$13,'Shifts'!$A$2:$A$13,$A31,'Shifts'!$B$2:$B$13,F$6)=0,"",SUMIFS('Shifts'!$F$2:$F$13,'Shifts'!$A$2:$A$13,$A31,'Shifts'!$B$2:$B$13,F$6))))</f>
        <v/>
      </c>
      <c r="G31" s="46">
        <f>IF($A31="","",IF(COUNTIFS('Absences'!$A$2:$A$13,$A31,'Absences'!$C$2:$C$13,"&lt;="&amp;G$6,'Absences'!$D$2:$D$13,"&gt;="&amp;G$6,'Absences'!$F$2:$F$13,"Yes")&gt;0,"Off",IF(SUMIFS('Shifts'!$F$2:$F$13,'Shifts'!$A$2:$A$13,$A31,'Shifts'!$B$2:$B$13,G$6)=0,"",SUMIFS('Shifts'!$F$2:$F$13,'Shifts'!$A$2:$A$13,$A31,'Shifts'!$B$2:$B$13,G$6))))</f>
        <v/>
      </c>
      <c r="H31" s="46">
        <f>IF($A31="","",IF(COUNTIFS('Absences'!$A$2:$A$13,$A31,'Absences'!$C$2:$C$13,"&lt;="&amp;H$6,'Absences'!$D$2:$D$13,"&gt;="&amp;H$6,'Absences'!$F$2:$F$13,"Yes")&gt;0,"Off",IF(SUMIFS('Shifts'!$F$2:$F$13,'Shifts'!$A$2:$A$13,$A31,'Shifts'!$B$2:$B$13,H$6)=0,"",SUMIFS('Shifts'!$F$2:$F$13,'Shifts'!$A$2:$A$13,$A31,'Shifts'!$B$2:$B$13,H$6))))</f>
        <v/>
      </c>
      <c r="I31" s="52">
        <f>IF($A31="","",SUM(B31:H31))</f>
        <v/>
      </c>
      <c r="J31" s="46">
        <f>IF($A31="","",N(INDEX(TeamHours,MATCH($A31,TeamList,0))))</f>
        <v/>
      </c>
      <c r="K31" s="46">
        <f>IF($A31="","",I31-J31)</f>
        <v/>
      </c>
    </row>
    <row r="32">
      <c r="A32" s="51">
        <f>IF(INDEX(TeamList,26)="","",INDEX(TeamList,26))</f>
        <v/>
      </c>
      <c r="B32" s="46">
        <f>IF($A32="","",IF(COUNTIFS('Absences'!$A$2:$A$13,$A32,'Absences'!$C$2:$C$13,"&lt;="&amp;B$6,'Absences'!$D$2:$D$13,"&gt;="&amp;B$6,'Absences'!$F$2:$F$13,"Yes")&gt;0,"Off",IF(SUMIFS('Shifts'!$F$2:$F$13,'Shifts'!$A$2:$A$13,$A32,'Shifts'!$B$2:$B$13,B$6)=0,"",SUMIFS('Shifts'!$F$2:$F$13,'Shifts'!$A$2:$A$13,$A32,'Shifts'!$B$2:$B$13,B$6))))</f>
        <v/>
      </c>
      <c r="C32" s="46">
        <f>IF($A32="","",IF(COUNTIFS('Absences'!$A$2:$A$13,$A32,'Absences'!$C$2:$C$13,"&lt;="&amp;C$6,'Absences'!$D$2:$D$13,"&gt;="&amp;C$6,'Absences'!$F$2:$F$13,"Yes")&gt;0,"Off",IF(SUMIFS('Shifts'!$F$2:$F$13,'Shifts'!$A$2:$A$13,$A32,'Shifts'!$B$2:$B$13,C$6)=0,"",SUMIFS('Shifts'!$F$2:$F$13,'Shifts'!$A$2:$A$13,$A32,'Shifts'!$B$2:$B$13,C$6))))</f>
        <v/>
      </c>
      <c r="D32" s="46">
        <f>IF($A32="","",IF(COUNTIFS('Absences'!$A$2:$A$13,$A32,'Absences'!$C$2:$C$13,"&lt;="&amp;D$6,'Absences'!$D$2:$D$13,"&gt;="&amp;D$6,'Absences'!$F$2:$F$13,"Yes")&gt;0,"Off",IF(SUMIFS('Shifts'!$F$2:$F$13,'Shifts'!$A$2:$A$13,$A32,'Shifts'!$B$2:$B$13,D$6)=0,"",SUMIFS('Shifts'!$F$2:$F$13,'Shifts'!$A$2:$A$13,$A32,'Shifts'!$B$2:$B$13,D$6))))</f>
        <v/>
      </c>
      <c r="E32" s="46">
        <f>IF($A32="","",IF(COUNTIFS('Absences'!$A$2:$A$13,$A32,'Absences'!$C$2:$C$13,"&lt;="&amp;E$6,'Absences'!$D$2:$D$13,"&gt;="&amp;E$6,'Absences'!$F$2:$F$13,"Yes")&gt;0,"Off",IF(SUMIFS('Shifts'!$F$2:$F$13,'Shifts'!$A$2:$A$13,$A32,'Shifts'!$B$2:$B$13,E$6)=0,"",SUMIFS('Shifts'!$F$2:$F$13,'Shifts'!$A$2:$A$13,$A32,'Shifts'!$B$2:$B$13,E$6))))</f>
        <v/>
      </c>
      <c r="F32" s="46">
        <f>IF($A32="","",IF(COUNTIFS('Absences'!$A$2:$A$13,$A32,'Absences'!$C$2:$C$13,"&lt;="&amp;F$6,'Absences'!$D$2:$D$13,"&gt;="&amp;F$6,'Absences'!$F$2:$F$13,"Yes")&gt;0,"Off",IF(SUMIFS('Shifts'!$F$2:$F$13,'Shifts'!$A$2:$A$13,$A32,'Shifts'!$B$2:$B$13,F$6)=0,"",SUMIFS('Shifts'!$F$2:$F$13,'Shifts'!$A$2:$A$13,$A32,'Shifts'!$B$2:$B$13,F$6))))</f>
        <v/>
      </c>
      <c r="G32" s="46">
        <f>IF($A32="","",IF(COUNTIFS('Absences'!$A$2:$A$13,$A32,'Absences'!$C$2:$C$13,"&lt;="&amp;G$6,'Absences'!$D$2:$D$13,"&gt;="&amp;G$6,'Absences'!$F$2:$F$13,"Yes")&gt;0,"Off",IF(SUMIFS('Shifts'!$F$2:$F$13,'Shifts'!$A$2:$A$13,$A32,'Shifts'!$B$2:$B$13,G$6)=0,"",SUMIFS('Shifts'!$F$2:$F$13,'Shifts'!$A$2:$A$13,$A32,'Shifts'!$B$2:$B$13,G$6))))</f>
        <v/>
      </c>
      <c r="H32" s="46">
        <f>IF($A32="","",IF(COUNTIFS('Absences'!$A$2:$A$13,$A32,'Absences'!$C$2:$C$13,"&lt;="&amp;H$6,'Absences'!$D$2:$D$13,"&gt;="&amp;H$6,'Absences'!$F$2:$F$13,"Yes")&gt;0,"Off",IF(SUMIFS('Shifts'!$F$2:$F$13,'Shifts'!$A$2:$A$13,$A32,'Shifts'!$B$2:$B$13,H$6)=0,"",SUMIFS('Shifts'!$F$2:$F$13,'Shifts'!$A$2:$A$13,$A32,'Shifts'!$B$2:$B$13,H$6))))</f>
        <v/>
      </c>
      <c r="I32" s="52">
        <f>IF($A32="","",SUM(B32:H32))</f>
        <v/>
      </c>
      <c r="J32" s="46">
        <f>IF($A32="","",N(INDEX(TeamHours,MATCH($A32,TeamList,0))))</f>
        <v/>
      </c>
      <c r="K32" s="46">
        <f>IF($A32="","",I32-J32)</f>
        <v/>
      </c>
    </row>
    <row r="33">
      <c r="A33" s="51">
        <f>IF(INDEX(TeamList,27)="","",INDEX(TeamList,27))</f>
        <v/>
      </c>
      <c r="B33" s="46">
        <f>IF($A33="","",IF(COUNTIFS('Absences'!$A$2:$A$13,$A33,'Absences'!$C$2:$C$13,"&lt;="&amp;B$6,'Absences'!$D$2:$D$13,"&gt;="&amp;B$6,'Absences'!$F$2:$F$13,"Yes")&gt;0,"Off",IF(SUMIFS('Shifts'!$F$2:$F$13,'Shifts'!$A$2:$A$13,$A33,'Shifts'!$B$2:$B$13,B$6)=0,"",SUMIFS('Shifts'!$F$2:$F$13,'Shifts'!$A$2:$A$13,$A33,'Shifts'!$B$2:$B$13,B$6))))</f>
        <v/>
      </c>
      <c r="C33" s="46">
        <f>IF($A33="","",IF(COUNTIFS('Absences'!$A$2:$A$13,$A33,'Absences'!$C$2:$C$13,"&lt;="&amp;C$6,'Absences'!$D$2:$D$13,"&gt;="&amp;C$6,'Absences'!$F$2:$F$13,"Yes")&gt;0,"Off",IF(SUMIFS('Shifts'!$F$2:$F$13,'Shifts'!$A$2:$A$13,$A33,'Shifts'!$B$2:$B$13,C$6)=0,"",SUMIFS('Shifts'!$F$2:$F$13,'Shifts'!$A$2:$A$13,$A33,'Shifts'!$B$2:$B$13,C$6))))</f>
        <v/>
      </c>
      <c r="D33" s="46">
        <f>IF($A33="","",IF(COUNTIFS('Absences'!$A$2:$A$13,$A33,'Absences'!$C$2:$C$13,"&lt;="&amp;D$6,'Absences'!$D$2:$D$13,"&gt;="&amp;D$6,'Absences'!$F$2:$F$13,"Yes")&gt;0,"Off",IF(SUMIFS('Shifts'!$F$2:$F$13,'Shifts'!$A$2:$A$13,$A33,'Shifts'!$B$2:$B$13,D$6)=0,"",SUMIFS('Shifts'!$F$2:$F$13,'Shifts'!$A$2:$A$13,$A33,'Shifts'!$B$2:$B$13,D$6))))</f>
        <v/>
      </c>
      <c r="E33" s="46">
        <f>IF($A33="","",IF(COUNTIFS('Absences'!$A$2:$A$13,$A33,'Absences'!$C$2:$C$13,"&lt;="&amp;E$6,'Absences'!$D$2:$D$13,"&gt;="&amp;E$6,'Absences'!$F$2:$F$13,"Yes")&gt;0,"Off",IF(SUMIFS('Shifts'!$F$2:$F$13,'Shifts'!$A$2:$A$13,$A33,'Shifts'!$B$2:$B$13,E$6)=0,"",SUMIFS('Shifts'!$F$2:$F$13,'Shifts'!$A$2:$A$13,$A33,'Shifts'!$B$2:$B$13,E$6))))</f>
        <v/>
      </c>
      <c r="F33" s="46">
        <f>IF($A33="","",IF(COUNTIFS('Absences'!$A$2:$A$13,$A33,'Absences'!$C$2:$C$13,"&lt;="&amp;F$6,'Absences'!$D$2:$D$13,"&gt;="&amp;F$6,'Absences'!$F$2:$F$13,"Yes")&gt;0,"Off",IF(SUMIFS('Shifts'!$F$2:$F$13,'Shifts'!$A$2:$A$13,$A33,'Shifts'!$B$2:$B$13,F$6)=0,"",SUMIFS('Shifts'!$F$2:$F$13,'Shifts'!$A$2:$A$13,$A33,'Shifts'!$B$2:$B$13,F$6))))</f>
        <v/>
      </c>
      <c r="G33" s="46">
        <f>IF($A33="","",IF(COUNTIFS('Absences'!$A$2:$A$13,$A33,'Absences'!$C$2:$C$13,"&lt;="&amp;G$6,'Absences'!$D$2:$D$13,"&gt;="&amp;G$6,'Absences'!$F$2:$F$13,"Yes")&gt;0,"Off",IF(SUMIFS('Shifts'!$F$2:$F$13,'Shifts'!$A$2:$A$13,$A33,'Shifts'!$B$2:$B$13,G$6)=0,"",SUMIFS('Shifts'!$F$2:$F$13,'Shifts'!$A$2:$A$13,$A33,'Shifts'!$B$2:$B$13,G$6))))</f>
        <v/>
      </c>
      <c r="H33" s="46">
        <f>IF($A33="","",IF(COUNTIFS('Absences'!$A$2:$A$13,$A33,'Absences'!$C$2:$C$13,"&lt;="&amp;H$6,'Absences'!$D$2:$D$13,"&gt;="&amp;H$6,'Absences'!$F$2:$F$13,"Yes")&gt;0,"Off",IF(SUMIFS('Shifts'!$F$2:$F$13,'Shifts'!$A$2:$A$13,$A33,'Shifts'!$B$2:$B$13,H$6)=0,"",SUMIFS('Shifts'!$F$2:$F$13,'Shifts'!$A$2:$A$13,$A33,'Shifts'!$B$2:$B$13,H$6))))</f>
        <v/>
      </c>
      <c r="I33" s="52">
        <f>IF($A33="","",SUM(B33:H33))</f>
        <v/>
      </c>
      <c r="J33" s="46">
        <f>IF($A33="","",N(INDEX(TeamHours,MATCH($A33,TeamList,0))))</f>
        <v/>
      </c>
      <c r="K33" s="46">
        <f>IF($A33="","",I33-J33)</f>
        <v/>
      </c>
    </row>
    <row r="34">
      <c r="A34" s="51">
        <f>IF(INDEX(TeamList,28)="","",INDEX(TeamList,28))</f>
        <v/>
      </c>
      <c r="B34" s="46">
        <f>IF($A34="","",IF(COUNTIFS('Absences'!$A$2:$A$13,$A34,'Absences'!$C$2:$C$13,"&lt;="&amp;B$6,'Absences'!$D$2:$D$13,"&gt;="&amp;B$6,'Absences'!$F$2:$F$13,"Yes")&gt;0,"Off",IF(SUMIFS('Shifts'!$F$2:$F$13,'Shifts'!$A$2:$A$13,$A34,'Shifts'!$B$2:$B$13,B$6)=0,"",SUMIFS('Shifts'!$F$2:$F$13,'Shifts'!$A$2:$A$13,$A34,'Shifts'!$B$2:$B$13,B$6))))</f>
        <v/>
      </c>
      <c r="C34" s="46">
        <f>IF($A34="","",IF(COUNTIFS('Absences'!$A$2:$A$13,$A34,'Absences'!$C$2:$C$13,"&lt;="&amp;C$6,'Absences'!$D$2:$D$13,"&gt;="&amp;C$6,'Absences'!$F$2:$F$13,"Yes")&gt;0,"Off",IF(SUMIFS('Shifts'!$F$2:$F$13,'Shifts'!$A$2:$A$13,$A34,'Shifts'!$B$2:$B$13,C$6)=0,"",SUMIFS('Shifts'!$F$2:$F$13,'Shifts'!$A$2:$A$13,$A34,'Shifts'!$B$2:$B$13,C$6))))</f>
        <v/>
      </c>
      <c r="D34" s="46">
        <f>IF($A34="","",IF(COUNTIFS('Absences'!$A$2:$A$13,$A34,'Absences'!$C$2:$C$13,"&lt;="&amp;D$6,'Absences'!$D$2:$D$13,"&gt;="&amp;D$6,'Absences'!$F$2:$F$13,"Yes")&gt;0,"Off",IF(SUMIFS('Shifts'!$F$2:$F$13,'Shifts'!$A$2:$A$13,$A34,'Shifts'!$B$2:$B$13,D$6)=0,"",SUMIFS('Shifts'!$F$2:$F$13,'Shifts'!$A$2:$A$13,$A34,'Shifts'!$B$2:$B$13,D$6))))</f>
        <v/>
      </c>
      <c r="E34" s="46">
        <f>IF($A34="","",IF(COUNTIFS('Absences'!$A$2:$A$13,$A34,'Absences'!$C$2:$C$13,"&lt;="&amp;E$6,'Absences'!$D$2:$D$13,"&gt;="&amp;E$6,'Absences'!$F$2:$F$13,"Yes")&gt;0,"Off",IF(SUMIFS('Shifts'!$F$2:$F$13,'Shifts'!$A$2:$A$13,$A34,'Shifts'!$B$2:$B$13,E$6)=0,"",SUMIFS('Shifts'!$F$2:$F$13,'Shifts'!$A$2:$A$13,$A34,'Shifts'!$B$2:$B$13,E$6))))</f>
        <v/>
      </c>
      <c r="F34" s="46">
        <f>IF($A34="","",IF(COUNTIFS('Absences'!$A$2:$A$13,$A34,'Absences'!$C$2:$C$13,"&lt;="&amp;F$6,'Absences'!$D$2:$D$13,"&gt;="&amp;F$6,'Absences'!$F$2:$F$13,"Yes")&gt;0,"Off",IF(SUMIFS('Shifts'!$F$2:$F$13,'Shifts'!$A$2:$A$13,$A34,'Shifts'!$B$2:$B$13,F$6)=0,"",SUMIFS('Shifts'!$F$2:$F$13,'Shifts'!$A$2:$A$13,$A34,'Shifts'!$B$2:$B$13,F$6))))</f>
        <v/>
      </c>
      <c r="G34" s="46">
        <f>IF($A34="","",IF(COUNTIFS('Absences'!$A$2:$A$13,$A34,'Absences'!$C$2:$C$13,"&lt;="&amp;G$6,'Absences'!$D$2:$D$13,"&gt;="&amp;G$6,'Absences'!$F$2:$F$13,"Yes")&gt;0,"Off",IF(SUMIFS('Shifts'!$F$2:$F$13,'Shifts'!$A$2:$A$13,$A34,'Shifts'!$B$2:$B$13,G$6)=0,"",SUMIFS('Shifts'!$F$2:$F$13,'Shifts'!$A$2:$A$13,$A34,'Shifts'!$B$2:$B$13,G$6))))</f>
        <v/>
      </c>
      <c r="H34" s="46">
        <f>IF($A34="","",IF(COUNTIFS('Absences'!$A$2:$A$13,$A34,'Absences'!$C$2:$C$13,"&lt;="&amp;H$6,'Absences'!$D$2:$D$13,"&gt;="&amp;H$6,'Absences'!$F$2:$F$13,"Yes")&gt;0,"Off",IF(SUMIFS('Shifts'!$F$2:$F$13,'Shifts'!$A$2:$A$13,$A34,'Shifts'!$B$2:$B$13,H$6)=0,"",SUMIFS('Shifts'!$F$2:$F$13,'Shifts'!$A$2:$A$13,$A34,'Shifts'!$B$2:$B$13,H$6))))</f>
        <v/>
      </c>
      <c r="I34" s="52">
        <f>IF($A34="","",SUM(B34:H34))</f>
        <v/>
      </c>
      <c r="J34" s="46">
        <f>IF($A34="","",N(INDEX(TeamHours,MATCH($A34,TeamList,0))))</f>
        <v/>
      </c>
      <c r="K34" s="46">
        <f>IF($A34="","",I34-J34)</f>
        <v/>
      </c>
    </row>
    <row r="35">
      <c r="A35" s="51">
        <f>IF(INDEX(TeamList,29)="","",INDEX(TeamList,29))</f>
        <v/>
      </c>
      <c r="B35" s="46">
        <f>IF($A35="","",IF(COUNTIFS('Absences'!$A$2:$A$13,$A35,'Absences'!$C$2:$C$13,"&lt;="&amp;B$6,'Absences'!$D$2:$D$13,"&gt;="&amp;B$6,'Absences'!$F$2:$F$13,"Yes")&gt;0,"Off",IF(SUMIFS('Shifts'!$F$2:$F$13,'Shifts'!$A$2:$A$13,$A35,'Shifts'!$B$2:$B$13,B$6)=0,"",SUMIFS('Shifts'!$F$2:$F$13,'Shifts'!$A$2:$A$13,$A35,'Shifts'!$B$2:$B$13,B$6))))</f>
        <v/>
      </c>
      <c r="C35" s="46">
        <f>IF($A35="","",IF(COUNTIFS('Absences'!$A$2:$A$13,$A35,'Absences'!$C$2:$C$13,"&lt;="&amp;C$6,'Absences'!$D$2:$D$13,"&gt;="&amp;C$6,'Absences'!$F$2:$F$13,"Yes")&gt;0,"Off",IF(SUMIFS('Shifts'!$F$2:$F$13,'Shifts'!$A$2:$A$13,$A35,'Shifts'!$B$2:$B$13,C$6)=0,"",SUMIFS('Shifts'!$F$2:$F$13,'Shifts'!$A$2:$A$13,$A35,'Shifts'!$B$2:$B$13,C$6))))</f>
        <v/>
      </c>
      <c r="D35" s="46">
        <f>IF($A35="","",IF(COUNTIFS('Absences'!$A$2:$A$13,$A35,'Absences'!$C$2:$C$13,"&lt;="&amp;D$6,'Absences'!$D$2:$D$13,"&gt;="&amp;D$6,'Absences'!$F$2:$F$13,"Yes")&gt;0,"Off",IF(SUMIFS('Shifts'!$F$2:$F$13,'Shifts'!$A$2:$A$13,$A35,'Shifts'!$B$2:$B$13,D$6)=0,"",SUMIFS('Shifts'!$F$2:$F$13,'Shifts'!$A$2:$A$13,$A35,'Shifts'!$B$2:$B$13,D$6))))</f>
        <v/>
      </c>
      <c r="E35" s="46">
        <f>IF($A35="","",IF(COUNTIFS('Absences'!$A$2:$A$13,$A35,'Absences'!$C$2:$C$13,"&lt;="&amp;E$6,'Absences'!$D$2:$D$13,"&gt;="&amp;E$6,'Absences'!$F$2:$F$13,"Yes")&gt;0,"Off",IF(SUMIFS('Shifts'!$F$2:$F$13,'Shifts'!$A$2:$A$13,$A35,'Shifts'!$B$2:$B$13,E$6)=0,"",SUMIFS('Shifts'!$F$2:$F$13,'Shifts'!$A$2:$A$13,$A35,'Shifts'!$B$2:$B$13,E$6))))</f>
        <v/>
      </c>
      <c r="F35" s="46">
        <f>IF($A35="","",IF(COUNTIFS('Absences'!$A$2:$A$13,$A35,'Absences'!$C$2:$C$13,"&lt;="&amp;F$6,'Absences'!$D$2:$D$13,"&gt;="&amp;F$6,'Absences'!$F$2:$F$13,"Yes")&gt;0,"Off",IF(SUMIFS('Shifts'!$F$2:$F$13,'Shifts'!$A$2:$A$13,$A35,'Shifts'!$B$2:$B$13,F$6)=0,"",SUMIFS('Shifts'!$F$2:$F$13,'Shifts'!$A$2:$A$13,$A35,'Shifts'!$B$2:$B$13,F$6))))</f>
        <v/>
      </c>
      <c r="G35" s="46">
        <f>IF($A35="","",IF(COUNTIFS('Absences'!$A$2:$A$13,$A35,'Absences'!$C$2:$C$13,"&lt;="&amp;G$6,'Absences'!$D$2:$D$13,"&gt;="&amp;G$6,'Absences'!$F$2:$F$13,"Yes")&gt;0,"Off",IF(SUMIFS('Shifts'!$F$2:$F$13,'Shifts'!$A$2:$A$13,$A35,'Shifts'!$B$2:$B$13,G$6)=0,"",SUMIFS('Shifts'!$F$2:$F$13,'Shifts'!$A$2:$A$13,$A35,'Shifts'!$B$2:$B$13,G$6))))</f>
        <v/>
      </c>
      <c r="H35" s="46">
        <f>IF($A35="","",IF(COUNTIFS('Absences'!$A$2:$A$13,$A35,'Absences'!$C$2:$C$13,"&lt;="&amp;H$6,'Absences'!$D$2:$D$13,"&gt;="&amp;H$6,'Absences'!$F$2:$F$13,"Yes")&gt;0,"Off",IF(SUMIFS('Shifts'!$F$2:$F$13,'Shifts'!$A$2:$A$13,$A35,'Shifts'!$B$2:$B$13,H$6)=0,"",SUMIFS('Shifts'!$F$2:$F$13,'Shifts'!$A$2:$A$13,$A35,'Shifts'!$B$2:$B$13,H$6))))</f>
        <v/>
      </c>
      <c r="I35" s="52">
        <f>IF($A35="","",SUM(B35:H35))</f>
        <v/>
      </c>
      <c r="J35" s="46">
        <f>IF($A35="","",N(INDEX(TeamHours,MATCH($A35,TeamList,0))))</f>
        <v/>
      </c>
      <c r="K35" s="46">
        <f>IF($A35="","",I35-J35)</f>
        <v/>
      </c>
    </row>
    <row r="36">
      <c r="A36" s="51">
        <f>IF(INDEX(TeamList,30)="","",INDEX(TeamList,30))</f>
        <v/>
      </c>
      <c r="B36" s="46">
        <f>IF($A36="","",IF(COUNTIFS('Absences'!$A$2:$A$13,$A36,'Absences'!$C$2:$C$13,"&lt;="&amp;B$6,'Absences'!$D$2:$D$13,"&gt;="&amp;B$6,'Absences'!$F$2:$F$13,"Yes")&gt;0,"Off",IF(SUMIFS('Shifts'!$F$2:$F$13,'Shifts'!$A$2:$A$13,$A36,'Shifts'!$B$2:$B$13,B$6)=0,"",SUMIFS('Shifts'!$F$2:$F$13,'Shifts'!$A$2:$A$13,$A36,'Shifts'!$B$2:$B$13,B$6))))</f>
        <v/>
      </c>
      <c r="C36" s="46">
        <f>IF($A36="","",IF(COUNTIFS('Absences'!$A$2:$A$13,$A36,'Absences'!$C$2:$C$13,"&lt;="&amp;C$6,'Absences'!$D$2:$D$13,"&gt;="&amp;C$6,'Absences'!$F$2:$F$13,"Yes")&gt;0,"Off",IF(SUMIFS('Shifts'!$F$2:$F$13,'Shifts'!$A$2:$A$13,$A36,'Shifts'!$B$2:$B$13,C$6)=0,"",SUMIFS('Shifts'!$F$2:$F$13,'Shifts'!$A$2:$A$13,$A36,'Shifts'!$B$2:$B$13,C$6))))</f>
        <v/>
      </c>
      <c r="D36" s="46">
        <f>IF($A36="","",IF(COUNTIFS('Absences'!$A$2:$A$13,$A36,'Absences'!$C$2:$C$13,"&lt;="&amp;D$6,'Absences'!$D$2:$D$13,"&gt;="&amp;D$6,'Absences'!$F$2:$F$13,"Yes")&gt;0,"Off",IF(SUMIFS('Shifts'!$F$2:$F$13,'Shifts'!$A$2:$A$13,$A36,'Shifts'!$B$2:$B$13,D$6)=0,"",SUMIFS('Shifts'!$F$2:$F$13,'Shifts'!$A$2:$A$13,$A36,'Shifts'!$B$2:$B$13,D$6))))</f>
        <v/>
      </c>
      <c r="E36" s="46">
        <f>IF($A36="","",IF(COUNTIFS('Absences'!$A$2:$A$13,$A36,'Absences'!$C$2:$C$13,"&lt;="&amp;E$6,'Absences'!$D$2:$D$13,"&gt;="&amp;E$6,'Absences'!$F$2:$F$13,"Yes")&gt;0,"Off",IF(SUMIFS('Shifts'!$F$2:$F$13,'Shifts'!$A$2:$A$13,$A36,'Shifts'!$B$2:$B$13,E$6)=0,"",SUMIFS('Shifts'!$F$2:$F$13,'Shifts'!$A$2:$A$13,$A36,'Shifts'!$B$2:$B$13,E$6))))</f>
        <v/>
      </c>
      <c r="F36" s="46">
        <f>IF($A36="","",IF(COUNTIFS('Absences'!$A$2:$A$13,$A36,'Absences'!$C$2:$C$13,"&lt;="&amp;F$6,'Absences'!$D$2:$D$13,"&gt;="&amp;F$6,'Absences'!$F$2:$F$13,"Yes")&gt;0,"Off",IF(SUMIFS('Shifts'!$F$2:$F$13,'Shifts'!$A$2:$A$13,$A36,'Shifts'!$B$2:$B$13,F$6)=0,"",SUMIFS('Shifts'!$F$2:$F$13,'Shifts'!$A$2:$A$13,$A36,'Shifts'!$B$2:$B$13,F$6))))</f>
        <v/>
      </c>
      <c r="G36" s="46">
        <f>IF($A36="","",IF(COUNTIFS('Absences'!$A$2:$A$13,$A36,'Absences'!$C$2:$C$13,"&lt;="&amp;G$6,'Absences'!$D$2:$D$13,"&gt;="&amp;G$6,'Absences'!$F$2:$F$13,"Yes")&gt;0,"Off",IF(SUMIFS('Shifts'!$F$2:$F$13,'Shifts'!$A$2:$A$13,$A36,'Shifts'!$B$2:$B$13,G$6)=0,"",SUMIFS('Shifts'!$F$2:$F$13,'Shifts'!$A$2:$A$13,$A36,'Shifts'!$B$2:$B$13,G$6))))</f>
        <v/>
      </c>
      <c r="H36" s="46">
        <f>IF($A36="","",IF(COUNTIFS('Absences'!$A$2:$A$13,$A36,'Absences'!$C$2:$C$13,"&lt;="&amp;H$6,'Absences'!$D$2:$D$13,"&gt;="&amp;H$6,'Absences'!$F$2:$F$13,"Yes")&gt;0,"Off",IF(SUMIFS('Shifts'!$F$2:$F$13,'Shifts'!$A$2:$A$13,$A36,'Shifts'!$B$2:$B$13,H$6)=0,"",SUMIFS('Shifts'!$F$2:$F$13,'Shifts'!$A$2:$A$13,$A36,'Shifts'!$B$2:$B$13,H$6))))</f>
        <v/>
      </c>
      <c r="I36" s="52">
        <f>IF($A36="","",SUM(B36:H36))</f>
        <v/>
      </c>
      <c r="J36" s="46">
        <f>IF($A36="","",N(INDEX(TeamHours,MATCH($A36,TeamList,0))))</f>
        <v/>
      </c>
      <c r="K36" s="46">
        <f>IF($A36="","",I36-J36)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B7:H36">
    <cfRule type="cellIs" priority="1" operator="equal" dxfId="1">
      <formula>"Off"</formula>
    </cfRule>
  </conditionalFormatting>
  <conditionalFormatting sqref="K7:K36">
    <cfRule type="cellIs" priority="2" operator="lessThan" dxfId="5">
      <formula>0</formula>
    </cfRule>
  </conditionalFormatting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J34"/>
  <sheetViews>
    <sheetView showGridLines="0" tabSelected="0" workbookViewId="0">
      <pane xSplit="1" ySplit="4" topLeftCell="B5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4" customWidth="1" min="4" max="4"/>
    <col width="14" customWidth="1" min="5" max="5"/>
    <col width="12" customWidth="1" min="6" max="6"/>
    <col width="10" customWidth="1" min="7" max="7"/>
    <col width="12" customWidth="1" min="8" max="8"/>
    <col width="14" customWidth="1" min="9" max="9"/>
    <col width="14" customWidth="1" min="10" max="10"/>
  </cols>
  <sheetData>
    <row r="1">
      <c r="A1" s="1" t="inlineStr">
        <is>
          <t>Team summary</t>
        </is>
      </c>
    </row>
    <row r="2">
      <c r="A2" s="3" t="inlineStr">
        <is>
          <t>Holiday balance and hours for each person, for the year in Settings. Absences count in the year they start.</t>
        </is>
      </c>
    </row>
    <row r="4" ht="32" customHeight="1">
      <c r="A4" s="21" t="inlineStr">
        <is>
          <t>Person</t>
        </is>
      </c>
      <c r="B4" s="21" t="inlineStr">
        <is>
          <t>Role</t>
        </is>
      </c>
      <c r="C4" s="21" t="inlineStr">
        <is>
          <t>Holiday allowance</t>
        </is>
      </c>
      <c r="D4" s="21" t="inlineStr">
        <is>
          <t>Holiday taken or approved</t>
        </is>
      </c>
      <c r="E4" s="21" t="inlineStr">
        <is>
          <t>Holiday waiting for approval</t>
        </is>
      </c>
      <c r="F4" s="21" t="inlineStr">
        <is>
          <t>Holiday left</t>
        </is>
      </c>
      <c r="G4" s="21" t="inlineStr">
        <is>
          <t>Sick days</t>
        </is>
      </c>
      <c r="H4" s="21" t="inlineStr">
        <is>
          <t>Other absence days</t>
        </is>
      </c>
      <c r="I4" s="21" t="inlineStr">
        <is>
          <t>Hours worked this year</t>
        </is>
      </c>
      <c r="J4" s="21" t="inlineStr">
        <is>
          <t>Hours in rota week</t>
        </is>
      </c>
    </row>
    <row r="5">
      <c r="A5" s="51">
        <f>IF(INDEX(TeamList,1)="","",INDEX(TeamList,1))</f>
        <v/>
      </c>
      <c r="B5" s="41">
        <f>IF(INDEX(TeamRole,1)="","",INDEX(TeamRole,1))</f>
        <v/>
      </c>
      <c r="C5" s="46">
        <f>IF($A5="","",N(INDEX(TeamHoliday,MATCH($A5,TeamList,0))))</f>
        <v/>
      </c>
      <c r="D5" s="46">
        <f>IF($A5="","",SUMIFS('Absences'!$E$2:$E$13,'Absences'!$A$2:$A$13,$A5,'Absences'!$B$2:$B$13,"Holiday",'Absences'!$C$2:$C$13,"&gt;="&amp;DATE(SelYear,1,1),'Absences'!$C$2:$C$13,"&lt;"&amp;DATE(SelYear+1,1,1),'Absences'!$F$2:$F$13,"Yes"))</f>
        <v/>
      </c>
      <c r="E5" s="46">
        <f>IF($A5="","",SUMIFS('Absences'!$E$2:$E$13,'Absences'!$A$2:$A$13,$A5,'Absences'!$B$2:$B$13,"Holiday",'Absences'!$C$2:$C$13,"&gt;="&amp;DATE(SelYear,1,1),'Absences'!$C$2:$C$13,"&lt;"&amp;DATE(SelYear+1,1,1),'Absences'!$F$2:$F$13,"&lt;&gt;Yes"))</f>
        <v/>
      </c>
      <c r="F5" s="52">
        <f>IF($A5="","",C5-D5)</f>
        <v/>
      </c>
      <c r="G5" s="46">
        <f>IF($A5="","",SUMIFS('Absences'!$E$2:$E$13,'Absences'!$A$2:$A$13,$A5,'Absences'!$B$2:$B$13,"Sick leave",'Absences'!$C$2:$C$13,"&gt;="&amp;DATE(SelYear,1,1),'Absences'!$C$2:$C$13,"&lt;"&amp;DATE(SelYear+1,1,1)))</f>
        <v/>
      </c>
      <c r="H5" s="46">
        <f>IF($A5="","",SUMIFS('Absences'!$E$2:$E$13,'Absences'!$A$2:$A$13,$A5,'Absences'!$B$2:$B$13,"Other",'Absences'!$C$2:$C$13,"&gt;="&amp;DATE(SelYear,1,1),'Absences'!$C$2:$C$13,"&lt;"&amp;DATE(SelYear+1,1,1)))</f>
        <v/>
      </c>
      <c r="I5" s="46">
        <f>IF($A5="","",SUMIFS('Shifts'!$F$2:$F$13,'Shifts'!$A$2:$A$13,$A5,'Shifts'!$B$2:$B$13,"&gt;="&amp;DATE(SelYear,1,1),'Shifts'!$B$2:$B$13,"&lt;"&amp;DATE(SelYear+1,1,1)))</f>
        <v/>
      </c>
      <c r="J5" s="46">
        <f>IF($A5="","",SUMIFS('Shifts'!$F$2:$F$13,'Shifts'!$A$2:$A$13,$A5,'Shifts'!$B$2:$B$13,"&gt;="&amp;WeekStart,'Shifts'!$B$2:$B$13,"&lt;"&amp;WeekStart+7))</f>
        <v/>
      </c>
    </row>
    <row r="6">
      <c r="A6" s="51">
        <f>IF(INDEX(TeamList,2)="","",INDEX(TeamList,2))</f>
        <v/>
      </c>
      <c r="B6" s="41">
        <f>IF(INDEX(TeamRole,2)="","",INDEX(TeamRole,2))</f>
        <v/>
      </c>
      <c r="C6" s="46">
        <f>IF($A6="","",N(INDEX(TeamHoliday,MATCH($A6,TeamList,0))))</f>
        <v/>
      </c>
      <c r="D6" s="46">
        <f>IF($A6="","",SUMIFS('Absences'!$E$2:$E$13,'Absences'!$A$2:$A$13,$A6,'Absences'!$B$2:$B$13,"Holiday",'Absences'!$C$2:$C$13,"&gt;="&amp;DATE(SelYear,1,1),'Absences'!$C$2:$C$13,"&lt;"&amp;DATE(SelYear+1,1,1),'Absences'!$F$2:$F$13,"Yes"))</f>
        <v/>
      </c>
      <c r="E6" s="46">
        <f>IF($A6="","",SUMIFS('Absences'!$E$2:$E$13,'Absences'!$A$2:$A$13,$A6,'Absences'!$B$2:$B$13,"Holiday",'Absences'!$C$2:$C$13,"&gt;="&amp;DATE(SelYear,1,1),'Absences'!$C$2:$C$13,"&lt;"&amp;DATE(SelYear+1,1,1),'Absences'!$F$2:$F$13,"&lt;&gt;Yes"))</f>
        <v/>
      </c>
      <c r="F6" s="52">
        <f>IF($A6="","",C6-D6)</f>
        <v/>
      </c>
      <c r="G6" s="46">
        <f>IF($A6="","",SUMIFS('Absences'!$E$2:$E$13,'Absences'!$A$2:$A$13,$A6,'Absences'!$B$2:$B$13,"Sick leave",'Absences'!$C$2:$C$13,"&gt;="&amp;DATE(SelYear,1,1),'Absences'!$C$2:$C$13,"&lt;"&amp;DATE(SelYear+1,1,1)))</f>
        <v/>
      </c>
      <c r="H6" s="46">
        <f>IF($A6="","",SUMIFS('Absences'!$E$2:$E$13,'Absences'!$A$2:$A$13,$A6,'Absences'!$B$2:$B$13,"Other",'Absences'!$C$2:$C$13,"&gt;="&amp;DATE(SelYear,1,1),'Absences'!$C$2:$C$13,"&lt;"&amp;DATE(SelYear+1,1,1)))</f>
        <v/>
      </c>
      <c r="I6" s="46">
        <f>IF($A6="","",SUMIFS('Shifts'!$F$2:$F$13,'Shifts'!$A$2:$A$13,$A6,'Shifts'!$B$2:$B$13,"&gt;="&amp;DATE(SelYear,1,1),'Shifts'!$B$2:$B$13,"&lt;"&amp;DATE(SelYear+1,1,1)))</f>
        <v/>
      </c>
      <c r="J6" s="46">
        <f>IF($A6="","",SUMIFS('Shifts'!$F$2:$F$13,'Shifts'!$A$2:$A$13,$A6,'Shifts'!$B$2:$B$13,"&gt;="&amp;WeekStart,'Shifts'!$B$2:$B$13,"&lt;"&amp;WeekStart+7))</f>
        <v/>
      </c>
    </row>
    <row r="7">
      <c r="A7" s="51">
        <f>IF(INDEX(TeamList,3)="","",INDEX(TeamList,3))</f>
        <v/>
      </c>
      <c r="B7" s="41">
        <f>IF(INDEX(TeamRole,3)="","",INDEX(TeamRole,3))</f>
        <v/>
      </c>
      <c r="C7" s="46">
        <f>IF($A7="","",N(INDEX(TeamHoliday,MATCH($A7,TeamList,0))))</f>
        <v/>
      </c>
      <c r="D7" s="46">
        <f>IF($A7="","",SUMIFS('Absences'!$E$2:$E$13,'Absences'!$A$2:$A$13,$A7,'Absences'!$B$2:$B$13,"Holiday",'Absences'!$C$2:$C$13,"&gt;="&amp;DATE(SelYear,1,1),'Absences'!$C$2:$C$13,"&lt;"&amp;DATE(SelYear+1,1,1),'Absences'!$F$2:$F$13,"Yes"))</f>
        <v/>
      </c>
      <c r="E7" s="46">
        <f>IF($A7="","",SUMIFS('Absences'!$E$2:$E$13,'Absences'!$A$2:$A$13,$A7,'Absences'!$B$2:$B$13,"Holiday",'Absences'!$C$2:$C$13,"&gt;="&amp;DATE(SelYear,1,1),'Absences'!$C$2:$C$13,"&lt;"&amp;DATE(SelYear+1,1,1),'Absences'!$F$2:$F$13,"&lt;&gt;Yes"))</f>
        <v/>
      </c>
      <c r="F7" s="52">
        <f>IF($A7="","",C7-D7)</f>
        <v/>
      </c>
      <c r="G7" s="46">
        <f>IF($A7="","",SUMIFS('Absences'!$E$2:$E$13,'Absences'!$A$2:$A$13,$A7,'Absences'!$B$2:$B$13,"Sick leave",'Absences'!$C$2:$C$13,"&gt;="&amp;DATE(SelYear,1,1),'Absences'!$C$2:$C$13,"&lt;"&amp;DATE(SelYear+1,1,1)))</f>
        <v/>
      </c>
      <c r="H7" s="46">
        <f>IF($A7="","",SUMIFS('Absences'!$E$2:$E$13,'Absences'!$A$2:$A$13,$A7,'Absences'!$B$2:$B$13,"Other",'Absences'!$C$2:$C$13,"&gt;="&amp;DATE(SelYear,1,1),'Absences'!$C$2:$C$13,"&lt;"&amp;DATE(SelYear+1,1,1)))</f>
        <v/>
      </c>
      <c r="I7" s="46">
        <f>IF($A7="","",SUMIFS('Shifts'!$F$2:$F$13,'Shifts'!$A$2:$A$13,$A7,'Shifts'!$B$2:$B$13,"&gt;="&amp;DATE(SelYear,1,1),'Shifts'!$B$2:$B$13,"&lt;"&amp;DATE(SelYear+1,1,1)))</f>
        <v/>
      </c>
      <c r="J7" s="46">
        <f>IF($A7="","",SUMIFS('Shifts'!$F$2:$F$13,'Shifts'!$A$2:$A$13,$A7,'Shifts'!$B$2:$B$13,"&gt;="&amp;WeekStart,'Shifts'!$B$2:$B$13,"&lt;"&amp;WeekStart+7))</f>
        <v/>
      </c>
    </row>
    <row r="8">
      <c r="A8" s="51">
        <f>IF(INDEX(TeamList,4)="","",INDEX(TeamList,4))</f>
        <v/>
      </c>
      <c r="B8" s="41">
        <f>IF(INDEX(TeamRole,4)="","",INDEX(TeamRole,4))</f>
        <v/>
      </c>
      <c r="C8" s="46">
        <f>IF($A8="","",N(INDEX(TeamHoliday,MATCH($A8,TeamList,0))))</f>
        <v/>
      </c>
      <c r="D8" s="46">
        <f>IF($A8="","",SUMIFS('Absences'!$E$2:$E$13,'Absences'!$A$2:$A$13,$A8,'Absences'!$B$2:$B$13,"Holiday",'Absences'!$C$2:$C$13,"&gt;="&amp;DATE(SelYear,1,1),'Absences'!$C$2:$C$13,"&lt;"&amp;DATE(SelYear+1,1,1),'Absences'!$F$2:$F$13,"Yes"))</f>
        <v/>
      </c>
      <c r="E8" s="46">
        <f>IF($A8="","",SUMIFS('Absences'!$E$2:$E$13,'Absences'!$A$2:$A$13,$A8,'Absences'!$B$2:$B$13,"Holiday",'Absences'!$C$2:$C$13,"&gt;="&amp;DATE(SelYear,1,1),'Absences'!$C$2:$C$13,"&lt;"&amp;DATE(SelYear+1,1,1),'Absences'!$F$2:$F$13,"&lt;&gt;Yes"))</f>
        <v/>
      </c>
      <c r="F8" s="52">
        <f>IF($A8="","",C8-D8)</f>
        <v/>
      </c>
      <c r="G8" s="46">
        <f>IF($A8="","",SUMIFS('Absences'!$E$2:$E$13,'Absences'!$A$2:$A$13,$A8,'Absences'!$B$2:$B$13,"Sick leave",'Absences'!$C$2:$C$13,"&gt;="&amp;DATE(SelYear,1,1),'Absences'!$C$2:$C$13,"&lt;"&amp;DATE(SelYear+1,1,1)))</f>
        <v/>
      </c>
      <c r="H8" s="46">
        <f>IF($A8="","",SUMIFS('Absences'!$E$2:$E$13,'Absences'!$A$2:$A$13,$A8,'Absences'!$B$2:$B$13,"Other",'Absences'!$C$2:$C$13,"&gt;="&amp;DATE(SelYear,1,1),'Absences'!$C$2:$C$13,"&lt;"&amp;DATE(SelYear+1,1,1)))</f>
        <v/>
      </c>
      <c r="I8" s="46">
        <f>IF($A8="","",SUMIFS('Shifts'!$F$2:$F$13,'Shifts'!$A$2:$A$13,$A8,'Shifts'!$B$2:$B$13,"&gt;="&amp;DATE(SelYear,1,1),'Shifts'!$B$2:$B$13,"&lt;"&amp;DATE(SelYear+1,1,1)))</f>
        <v/>
      </c>
      <c r="J8" s="46">
        <f>IF($A8="","",SUMIFS('Shifts'!$F$2:$F$13,'Shifts'!$A$2:$A$13,$A8,'Shifts'!$B$2:$B$13,"&gt;="&amp;WeekStart,'Shifts'!$B$2:$B$13,"&lt;"&amp;WeekStart+7))</f>
        <v/>
      </c>
    </row>
    <row r="9">
      <c r="A9" s="51">
        <f>IF(INDEX(TeamList,5)="","",INDEX(TeamList,5))</f>
        <v/>
      </c>
      <c r="B9" s="41">
        <f>IF(INDEX(TeamRole,5)="","",INDEX(TeamRole,5))</f>
        <v/>
      </c>
      <c r="C9" s="46">
        <f>IF($A9="","",N(INDEX(TeamHoliday,MATCH($A9,TeamList,0))))</f>
        <v/>
      </c>
      <c r="D9" s="46">
        <f>IF($A9="","",SUMIFS('Absences'!$E$2:$E$13,'Absences'!$A$2:$A$13,$A9,'Absences'!$B$2:$B$13,"Holiday",'Absences'!$C$2:$C$13,"&gt;="&amp;DATE(SelYear,1,1),'Absences'!$C$2:$C$13,"&lt;"&amp;DATE(SelYear+1,1,1),'Absences'!$F$2:$F$13,"Yes"))</f>
        <v/>
      </c>
      <c r="E9" s="46">
        <f>IF($A9="","",SUMIFS('Absences'!$E$2:$E$13,'Absences'!$A$2:$A$13,$A9,'Absences'!$B$2:$B$13,"Holiday",'Absences'!$C$2:$C$13,"&gt;="&amp;DATE(SelYear,1,1),'Absences'!$C$2:$C$13,"&lt;"&amp;DATE(SelYear+1,1,1),'Absences'!$F$2:$F$13,"&lt;&gt;Yes"))</f>
        <v/>
      </c>
      <c r="F9" s="52">
        <f>IF($A9="","",C9-D9)</f>
        <v/>
      </c>
      <c r="G9" s="46">
        <f>IF($A9="","",SUMIFS('Absences'!$E$2:$E$13,'Absences'!$A$2:$A$13,$A9,'Absences'!$B$2:$B$13,"Sick leave",'Absences'!$C$2:$C$13,"&gt;="&amp;DATE(SelYear,1,1),'Absences'!$C$2:$C$13,"&lt;"&amp;DATE(SelYear+1,1,1)))</f>
        <v/>
      </c>
      <c r="H9" s="46">
        <f>IF($A9="","",SUMIFS('Absences'!$E$2:$E$13,'Absences'!$A$2:$A$13,$A9,'Absences'!$B$2:$B$13,"Other",'Absences'!$C$2:$C$13,"&gt;="&amp;DATE(SelYear,1,1),'Absences'!$C$2:$C$13,"&lt;"&amp;DATE(SelYear+1,1,1)))</f>
        <v/>
      </c>
      <c r="I9" s="46">
        <f>IF($A9="","",SUMIFS('Shifts'!$F$2:$F$13,'Shifts'!$A$2:$A$13,$A9,'Shifts'!$B$2:$B$13,"&gt;="&amp;DATE(SelYear,1,1),'Shifts'!$B$2:$B$13,"&lt;"&amp;DATE(SelYear+1,1,1)))</f>
        <v/>
      </c>
      <c r="J9" s="46">
        <f>IF($A9="","",SUMIFS('Shifts'!$F$2:$F$13,'Shifts'!$A$2:$A$13,$A9,'Shifts'!$B$2:$B$13,"&gt;="&amp;WeekStart,'Shifts'!$B$2:$B$13,"&lt;"&amp;WeekStart+7))</f>
        <v/>
      </c>
    </row>
    <row r="10">
      <c r="A10" s="51">
        <f>IF(INDEX(TeamList,6)="","",INDEX(TeamList,6))</f>
        <v/>
      </c>
      <c r="B10" s="41">
        <f>IF(INDEX(TeamRole,6)="","",INDEX(TeamRole,6))</f>
        <v/>
      </c>
      <c r="C10" s="46">
        <f>IF($A10="","",N(INDEX(TeamHoliday,MATCH($A10,TeamList,0))))</f>
        <v/>
      </c>
      <c r="D10" s="46">
        <f>IF($A10="","",SUMIFS('Absences'!$E$2:$E$13,'Absences'!$A$2:$A$13,$A10,'Absences'!$B$2:$B$13,"Holiday",'Absences'!$C$2:$C$13,"&gt;="&amp;DATE(SelYear,1,1),'Absences'!$C$2:$C$13,"&lt;"&amp;DATE(SelYear+1,1,1),'Absences'!$F$2:$F$13,"Yes"))</f>
        <v/>
      </c>
      <c r="E10" s="46">
        <f>IF($A10="","",SUMIFS('Absences'!$E$2:$E$13,'Absences'!$A$2:$A$13,$A10,'Absences'!$B$2:$B$13,"Holiday",'Absences'!$C$2:$C$13,"&gt;="&amp;DATE(SelYear,1,1),'Absences'!$C$2:$C$13,"&lt;"&amp;DATE(SelYear+1,1,1),'Absences'!$F$2:$F$13,"&lt;&gt;Yes"))</f>
        <v/>
      </c>
      <c r="F10" s="52">
        <f>IF($A10="","",C10-D10)</f>
        <v/>
      </c>
      <c r="G10" s="46">
        <f>IF($A10="","",SUMIFS('Absences'!$E$2:$E$13,'Absences'!$A$2:$A$13,$A10,'Absences'!$B$2:$B$13,"Sick leave",'Absences'!$C$2:$C$13,"&gt;="&amp;DATE(SelYear,1,1),'Absences'!$C$2:$C$13,"&lt;"&amp;DATE(SelYear+1,1,1)))</f>
        <v/>
      </c>
      <c r="H10" s="46">
        <f>IF($A10="","",SUMIFS('Absences'!$E$2:$E$13,'Absences'!$A$2:$A$13,$A10,'Absences'!$B$2:$B$13,"Other",'Absences'!$C$2:$C$13,"&gt;="&amp;DATE(SelYear,1,1),'Absences'!$C$2:$C$13,"&lt;"&amp;DATE(SelYear+1,1,1)))</f>
        <v/>
      </c>
      <c r="I10" s="46">
        <f>IF($A10="","",SUMIFS('Shifts'!$F$2:$F$13,'Shifts'!$A$2:$A$13,$A10,'Shifts'!$B$2:$B$13,"&gt;="&amp;DATE(SelYear,1,1),'Shifts'!$B$2:$B$13,"&lt;"&amp;DATE(SelYear+1,1,1)))</f>
        <v/>
      </c>
      <c r="J10" s="46">
        <f>IF($A10="","",SUMIFS('Shifts'!$F$2:$F$13,'Shifts'!$A$2:$A$13,$A10,'Shifts'!$B$2:$B$13,"&gt;="&amp;WeekStart,'Shifts'!$B$2:$B$13,"&lt;"&amp;WeekStart+7))</f>
        <v/>
      </c>
    </row>
    <row r="11">
      <c r="A11" s="51">
        <f>IF(INDEX(TeamList,7)="","",INDEX(TeamList,7))</f>
        <v/>
      </c>
      <c r="B11" s="41">
        <f>IF(INDEX(TeamRole,7)="","",INDEX(TeamRole,7))</f>
        <v/>
      </c>
      <c r="C11" s="46">
        <f>IF($A11="","",N(INDEX(TeamHoliday,MATCH($A11,TeamList,0))))</f>
        <v/>
      </c>
      <c r="D11" s="46">
        <f>IF($A11="","",SUMIFS('Absences'!$E$2:$E$13,'Absences'!$A$2:$A$13,$A11,'Absences'!$B$2:$B$13,"Holiday",'Absences'!$C$2:$C$13,"&gt;="&amp;DATE(SelYear,1,1),'Absences'!$C$2:$C$13,"&lt;"&amp;DATE(SelYear+1,1,1),'Absences'!$F$2:$F$13,"Yes"))</f>
        <v/>
      </c>
      <c r="E11" s="46">
        <f>IF($A11="","",SUMIFS('Absences'!$E$2:$E$13,'Absences'!$A$2:$A$13,$A11,'Absences'!$B$2:$B$13,"Holiday",'Absences'!$C$2:$C$13,"&gt;="&amp;DATE(SelYear,1,1),'Absences'!$C$2:$C$13,"&lt;"&amp;DATE(SelYear+1,1,1),'Absences'!$F$2:$F$13,"&lt;&gt;Yes"))</f>
        <v/>
      </c>
      <c r="F11" s="52">
        <f>IF($A11="","",C11-D11)</f>
        <v/>
      </c>
      <c r="G11" s="46">
        <f>IF($A11="","",SUMIFS('Absences'!$E$2:$E$13,'Absences'!$A$2:$A$13,$A11,'Absences'!$B$2:$B$13,"Sick leave",'Absences'!$C$2:$C$13,"&gt;="&amp;DATE(SelYear,1,1),'Absences'!$C$2:$C$13,"&lt;"&amp;DATE(SelYear+1,1,1)))</f>
        <v/>
      </c>
      <c r="H11" s="46">
        <f>IF($A11="","",SUMIFS('Absences'!$E$2:$E$13,'Absences'!$A$2:$A$13,$A11,'Absences'!$B$2:$B$13,"Other",'Absences'!$C$2:$C$13,"&gt;="&amp;DATE(SelYear,1,1),'Absences'!$C$2:$C$13,"&lt;"&amp;DATE(SelYear+1,1,1)))</f>
        <v/>
      </c>
      <c r="I11" s="46">
        <f>IF($A11="","",SUMIFS('Shifts'!$F$2:$F$13,'Shifts'!$A$2:$A$13,$A11,'Shifts'!$B$2:$B$13,"&gt;="&amp;DATE(SelYear,1,1),'Shifts'!$B$2:$B$13,"&lt;"&amp;DATE(SelYear+1,1,1)))</f>
        <v/>
      </c>
      <c r="J11" s="46">
        <f>IF($A11="","",SUMIFS('Shifts'!$F$2:$F$13,'Shifts'!$A$2:$A$13,$A11,'Shifts'!$B$2:$B$13,"&gt;="&amp;WeekStart,'Shifts'!$B$2:$B$13,"&lt;"&amp;WeekStart+7))</f>
        <v/>
      </c>
    </row>
    <row r="12">
      <c r="A12" s="51">
        <f>IF(INDEX(TeamList,8)="","",INDEX(TeamList,8))</f>
        <v/>
      </c>
      <c r="B12" s="41">
        <f>IF(INDEX(TeamRole,8)="","",INDEX(TeamRole,8))</f>
        <v/>
      </c>
      <c r="C12" s="46">
        <f>IF($A12="","",N(INDEX(TeamHoliday,MATCH($A12,TeamList,0))))</f>
        <v/>
      </c>
      <c r="D12" s="46">
        <f>IF($A12="","",SUMIFS('Absences'!$E$2:$E$13,'Absences'!$A$2:$A$13,$A12,'Absences'!$B$2:$B$13,"Holiday",'Absences'!$C$2:$C$13,"&gt;="&amp;DATE(SelYear,1,1),'Absences'!$C$2:$C$13,"&lt;"&amp;DATE(SelYear+1,1,1),'Absences'!$F$2:$F$13,"Yes"))</f>
        <v/>
      </c>
      <c r="E12" s="46">
        <f>IF($A12="","",SUMIFS('Absences'!$E$2:$E$13,'Absences'!$A$2:$A$13,$A12,'Absences'!$B$2:$B$13,"Holiday",'Absences'!$C$2:$C$13,"&gt;="&amp;DATE(SelYear,1,1),'Absences'!$C$2:$C$13,"&lt;"&amp;DATE(SelYear+1,1,1),'Absences'!$F$2:$F$13,"&lt;&gt;Yes"))</f>
        <v/>
      </c>
      <c r="F12" s="52">
        <f>IF($A12="","",C12-D12)</f>
        <v/>
      </c>
      <c r="G12" s="46">
        <f>IF($A12="","",SUMIFS('Absences'!$E$2:$E$13,'Absences'!$A$2:$A$13,$A12,'Absences'!$B$2:$B$13,"Sick leave",'Absences'!$C$2:$C$13,"&gt;="&amp;DATE(SelYear,1,1),'Absences'!$C$2:$C$13,"&lt;"&amp;DATE(SelYear+1,1,1)))</f>
        <v/>
      </c>
      <c r="H12" s="46">
        <f>IF($A12="","",SUMIFS('Absences'!$E$2:$E$13,'Absences'!$A$2:$A$13,$A12,'Absences'!$B$2:$B$13,"Other",'Absences'!$C$2:$C$13,"&gt;="&amp;DATE(SelYear,1,1),'Absences'!$C$2:$C$13,"&lt;"&amp;DATE(SelYear+1,1,1)))</f>
        <v/>
      </c>
      <c r="I12" s="46">
        <f>IF($A12="","",SUMIFS('Shifts'!$F$2:$F$13,'Shifts'!$A$2:$A$13,$A12,'Shifts'!$B$2:$B$13,"&gt;="&amp;DATE(SelYear,1,1),'Shifts'!$B$2:$B$13,"&lt;"&amp;DATE(SelYear+1,1,1)))</f>
        <v/>
      </c>
      <c r="J12" s="46">
        <f>IF($A12="","",SUMIFS('Shifts'!$F$2:$F$13,'Shifts'!$A$2:$A$13,$A12,'Shifts'!$B$2:$B$13,"&gt;="&amp;WeekStart,'Shifts'!$B$2:$B$13,"&lt;"&amp;WeekStart+7))</f>
        <v/>
      </c>
    </row>
    <row r="13">
      <c r="A13" s="51">
        <f>IF(INDEX(TeamList,9)="","",INDEX(TeamList,9))</f>
        <v/>
      </c>
      <c r="B13" s="41">
        <f>IF(INDEX(TeamRole,9)="","",INDEX(TeamRole,9))</f>
        <v/>
      </c>
      <c r="C13" s="46">
        <f>IF($A13="","",N(INDEX(TeamHoliday,MATCH($A13,TeamList,0))))</f>
        <v/>
      </c>
      <c r="D13" s="46">
        <f>IF($A13="","",SUMIFS('Absences'!$E$2:$E$13,'Absences'!$A$2:$A$13,$A13,'Absences'!$B$2:$B$13,"Holiday",'Absences'!$C$2:$C$13,"&gt;="&amp;DATE(SelYear,1,1),'Absences'!$C$2:$C$13,"&lt;"&amp;DATE(SelYear+1,1,1),'Absences'!$F$2:$F$13,"Yes"))</f>
        <v/>
      </c>
      <c r="E13" s="46">
        <f>IF($A13="","",SUMIFS('Absences'!$E$2:$E$13,'Absences'!$A$2:$A$13,$A13,'Absences'!$B$2:$B$13,"Holiday",'Absences'!$C$2:$C$13,"&gt;="&amp;DATE(SelYear,1,1),'Absences'!$C$2:$C$13,"&lt;"&amp;DATE(SelYear+1,1,1),'Absences'!$F$2:$F$13,"&lt;&gt;Yes"))</f>
        <v/>
      </c>
      <c r="F13" s="52">
        <f>IF($A13="","",C13-D13)</f>
        <v/>
      </c>
      <c r="G13" s="46">
        <f>IF($A13="","",SUMIFS('Absences'!$E$2:$E$13,'Absences'!$A$2:$A$13,$A13,'Absences'!$B$2:$B$13,"Sick leave",'Absences'!$C$2:$C$13,"&gt;="&amp;DATE(SelYear,1,1),'Absences'!$C$2:$C$13,"&lt;"&amp;DATE(SelYear+1,1,1)))</f>
        <v/>
      </c>
      <c r="H13" s="46">
        <f>IF($A13="","",SUMIFS('Absences'!$E$2:$E$13,'Absences'!$A$2:$A$13,$A13,'Absences'!$B$2:$B$13,"Other",'Absences'!$C$2:$C$13,"&gt;="&amp;DATE(SelYear,1,1),'Absences'!$C$2:$C$13,"&lt;"&amp;DATE(SelYear+1,1,1)))</f>
        <v/>
      </c>
      <c r="I13" s="46">
        <f>IF($A13="","",SUMIFS('Shifts'!$F$2:$F$13,'Shifts'!$A$2:$A$13,$A13,'Shifts'!$B$2:$B$13,"&gt;="&amp;DATE(SelYear,1,1),'Shifts'!$B$2:$B$13,"&lt;"&amp;DATE(SelYear+1,1,1)))</f>
        <v/>
      </c>
      <c r="J13" s="46">
        <f>IF($A13="","",SUMIFS('Shifts'!$F$2:$F$13,'Shifts'!$A$2:$A$13,$A13,'Shifts'!$B$2:$B$13,"&gt;="&amp;WeekStart,'Shifts'!$B$2:$B$13,"&lt;"&amp;WeekStart+7))</f>
        <v/>
      </c>
    </row>
    <row r="14">
      <c r="A14" s="51">
        <f>IF(INDEX(TeamList,10)="","",INDEX(TeamList,10))</f>
        <v/>
      </c>
      <c r="B14" s="41">
        <f>IF(INDEX(TeamRole,10)="","",INDEX(TeamRole,10))</f>
        <v/>
      </c>
      <c r="C14" s="46">
        <f>IF($A14="","",N(INDEX(TeamHoliday,MATCH($A14,TeamList,0))))</f>
        <v/>
      </c>
      <c r="D14" s="46">
        <f>IF($A14="","",SUMIFS('Absences'!$E$2:$E$13,'Absences'!$A$2:$A$13,$A14,'Absences'!$B$2:$B$13,"Holiday",'Absences'!$C$2:$C$13,"&gt;="&amp;DATE(SelYear,1,1),'Absences'!$C$2:$C$13,"&lt;"&amp;DATE(SelYear+1,1,1),'Absences'!$F$2:$F$13,"Yes"))</f>
        <v/>
      </c>
      <c r="E14" s="46">
        <f>IF($A14="","",SUMIFS('Absences'!$E$2:$E$13,'Absences'!$A$2:$A$13,$A14,'Absences'!$B$2:$B$13,"Holiday",'Absences'!$C$2:$C$13,"&gt;="&amp;DATE(SelYear,1,1),'Absences'!$C$2:$C$13,"&lt;"&amp;DATE(SelYear+1,1,1),'Absences'!$F$2:$F$13,"&lt;&gt;Yes"))</f>
        <v/>
      </c>
      <c r="F14" s="52">
        <f>IF($A14="","",C14-D14)</f>
        <v/>
      </c>
      <c r="G14" s="46">
        <f>IF($A14="","",SUMIFS('Absences'!$E$2:$E$13,'Absences'!$A$2:$A$13,$A14,'Absences'!$B$2:$B$13,"Sick leave",'Absences'!$C$2:$C$13,"&gt;="&amp;DATE(SelYear,1,1),'Absences'!$C$2:$C$13,"&lt;"&amp;DATE(SelYear+1,1,1)))</f>
        <v/>
      </c>
      <c r="H14" s="46">
        <f>IF($A14="","",SUMIFS('Absences'!$E$2:$E$13,'Absences'!$A$2:$A$13,$A14,'Absences'!$B$2:$B$13,"Other",'Absences'!$C$2:$C$13,"&gt;="&amp;DATE(SelYear,1,1),'Absences'!$C$2:$C$13,"&lt;"&amp;DATE(SelYear+1,1,1)))</f>
        <v/>
      </c>
      <c r="I14" s="46">
        <f>IF($A14="","",SUMIFS('Shifts'!$F$2:$F$13,'Shifts'!$A$2:$A$13,$A14,'Shifts'!$B$2:$B$13,"&gt;="&amp;DATE(SelYear,1,1),'Shifts'!$B$2:$B$13,"&lt;"&amp;DATE(SelYear+1,1,1)))</f>
        <v/>
      </c>
      <c r="J14" s="46">
        <f>IF($A14="","",SUMIFS('Shifts'!$F$2:$F$13,'Shifts'!$A$2:$A$13,$A14,'Shifts'!$B$2:$B$13,"&gt;="&amp;WeekStart,'Shifts'!$B$2:$B$13,"&lt;"&amp;WeekStart+7))</f>
        <v/>
      </c>
    </row>
    <row r="15">
      <c r="A15" s="51">
        <f>IF(INDEX(TeamList,11)="","",INDEX(TeamList,11))</f>
        <v/>
      </c>
      <c r="B15" s="41">
        <f>IF(INDEX(TeamRole,11)="","",INDEX(TeamRole,11))</f>
        <v/>
      </c>
      <c r="C15" s="46">
        <f>IF($A15="","",N(INDEX(TeamHoliday,MATCH($A15,TeamList,0))))</f>
        <v/>
      </c>
      <c r="D15" s="46">
        <f>IF($A15="","",SUMIFS('Absences'!$E$2:$E$13,'Absences'!$A$2:$A$13,$A15,'Absences'!$B$2:$B$13,"Holiday",'Absences'!$C$2:$C$13,"&gt;="&amp;DATE(SelYear,1,1),'Absences'!$C$2:$C$13,"&lt;"&amp;DATE(SelYear+1,1,1),'Absences'!$F$2:$F$13,"Yes"))</f>
        <v/>
      </c>
      <c r="E15" s="46">
        <f>IF($A15="","",SUMIFS('Absences'!$E$2:$E$13,'Absences'!$A$2:$A$13,$A15,'Absences'!$B$2:$B$13,"Holiday",'Absences'!$C$2:$C$13,"&gt;="&amp;DATE(SelYear,1,1),'Absences'!$C$2:$C$13,"&lt;"&amp;DATE(SelYear+1,1,1),'Absences'!$F$2:$F$13,"&lt;&gt;Yes"))</f>
        <v/>
      </c>
      <c r="F15" s="52">
        <f>IF($A15="","",C15-D15)</f>
        <v/>
      </c>
      <c r="G15" s="46">
        <f>IF($A15="","",SUMIFS('Absences'!$E$2:$E$13,'Absences'!$A$2:$A$13,$A15,'Absences'!$B$2:$B$13,"Sick leave",'Absences'!$C$2:$C$13,"&gt;="&amp;DATE(SelYear,1,1),'Absences'!$C$2:$C$13,"&lt;"&amp;DATE(SelYear+1,1,1)))</f>
        <v/>
      </c>
      <c r="H15" s="46">
        <f>IF($A15="","",SUMIFS('Absences'!$E$2:$E$13,'Absences'!$A$2:$A$13,$A15,'Absences'!$B$2:$B$13,"Other",'Absences'!$C$2:$C$13,"&gt;="&amp;DATE(SelYear,1,1),'Absences'!$C$2:$C$13,"&lt;"&amp;DATE(SelYear+1,1,1)))</f>
        <v/>
      </c>
      <c r="I15" s="46">
        <f>IF($A15="","",SUMIFS('Shifts'!$F$2:$F$13,'Shifts'!$A$2:$A$13,$A15,'Shifts'!$B$2:$B$13,"&gt;="&amp;DATE(SelYear,1,1),'Shifts'!$B$2:$B$13,"&lt;"&amp;DATE(SelYear+1,1,1)))</f>
        <v/>
      </c>
      <c r="J15" s="46">
        <f>IF($A15="","",SUMIFS('Shifts'!$F$2:$F$13,'Shifts'!$A$2:$A$13,$A15,'Shifts'!$B$2:$B$13,"&gt;="&amp;WeekStart,'Shifts'!$B$2:$B$13,"&lt;"&amp;WeekStart+7))</f>
        <v/>
      </c>
    </row>
    <row r="16">
      <c r="A16" s="51">
        <f>IF(INDEX(TeamList,12)="","",INDEX(TeamList,12))</f>
        <v/>
      </c>
      <c r="B16" s="41">
        <f>IF(INDEX(TeamRole,12)="","",INDEX(TeamRole,12))</f>
        <v/>
      </c>
      <c r="C16" s="46">
        <f>IF($A16="","",N(INDEX(TeamHoliday,MATCH($A16,TeamList,0))))</f>
        <v/>
      </c>
      <c r="D16" s="46">
        <f>IF($A16="","",SUMIFS('Absences'!$E$2:$E$13,'Absences'!$A$2:$A$13,$A16,'Absences'!$B$2:$B$13,"Holiday",'Absences'!$C$2:$C$13,"&gt;="&amp;DATE(SelYear,1,1),'Absences'!$C$2:$C$13,"&lt;"&amp;DATE(SelYear+1,1,1),'Absences'!$F$2:$F$13,"Yes"))</f>
        <v/>
      </c>
      <c r="E16" s="46">
        <f>IF($A16="","",SUMIFS('Absences'!$E$2:$E$13,'Absences'!$A$2:$A$13,$A16,'Absences'!$B$2:$B$13,"Holiday",'Absences'!$C$2:$C$13,"&gt;="&amp;DATE(SelYear,1,1),'Absences'!$C$2:$C$13,"&lt;"&amp;DATE(SelYear+1,1,1),'Absences'!$F$2:$F$13,"&lt;&gt;Yes"))</f>
        <v/>
      </c>
      <c r="F16" s="52">
        <f>IF($A16="","",C16-D16)</f>
        <v/>
      </c>
      <c r="G16" s="46">
        <f>IF($A16="","",SUMIFS('Absences'!$E$2:$E$13,'Absences'!$A$2:$A$13,$A16,'Absences'!$B$2:$B$13,"Sick leave",'Absences'!$C$2:$C$13,"&gt;="&amp;DATE(SelYear,1,1),'Absences'!$C$2:$C$13,"&lt;"&amp;DATE(SelYear+1,1,1)))</f>
        <v/>
      </c>
      <c r="H16" s="46">
        <f>IF($A16="","",SUMIFS('Absences'!$E$2:$E$13,'Absences'!$A$2:$A$13,$A16,'Absences'!$B$2:$B$13,"Other",'Absences'!$C$2:$C$13,"&gt;="&amp;DATE(SelYear,1,1),'Absences'!$C$2:$C$13,"&lt;"&amp;DATE(SelYear+1,1,1)))</f>
        <v/>
      </c>
      <c r="I16" s="46">
        <f>IF($A16="","",SUMIFS('Shifts'!$F$2:$F$13,'Shifts'!$A$2:$A$13,$A16,'Shifts'!$B$2:$B$13,"&gt;="&amp;DATE(SelYear,1,1),'Shifts'!$B$2:$B$13,"&lt;"&amp;DATE(SelYear+1,1,1)))</f>
        <v/>
      </c>
      <c r="J16" s="46">
        <f>IF($A16="","",SUMIFS('Shifts'!$F$2:$F$13,'Shifts'!$A$2:$A$13,$A16,'Shifts'!$B$2:$B$13,"&gt;="&amp;WeekStart,'Shifts'!$B$2:$B$13,"&lt;"&amp;WeekStart+7))</f>
        <v/>
      </c>
    </row>
    <row r="17">
      <c r="A17" s="51">
        <f>IF(INDEX(TeamList,13)="","",INDEX(TeamList,13))</f>
        <v/>
      </c>
      <c r="B17" s="41">
        <f>IF(INDEX(TeamRole,13)="","",INDEX(TeamRole,13))</f>
        <v/>
      </c>
      <c r="C17" s="46">
        <f>IF($A17="","",N(INDEX(TeamHoliday,MATCH($A17,TeamList,0))))</f>
        <v/>
      </c>
      <c r="D17" s="46">
        <f>IF($A17="","",SUMIFS('Absences'!$E$2:$E$13,'Absences'!$A$2:$A$13,$A17,'Absences'!$B$2:$B$13,"Holiday",'Absences'!$C$2:$C$13,"&gt;="&amp;DATE(SelYear,1,1),'Absences'!$C$2:$C$13,"&lt;"&amp;DATE(SelYear+1,1,1),'Absences'!$F$2:$F$13,"Yes"))</f>
        <v/>
      </c>
      <c r="E17" s="46">
        <f>IF($A17="","",SUMIFS('Absences'!$E$2:$E$13,'Absences'!$A$2:$A$13,$A17,'Absences'!$B$2:$B$13,"Holiday",'Absences'!$C$2:$C$13,"&gt;="&amp;DATE(SelYear,1,1),'Absences'!$C$2:$C$13,"&lt;"&amp;DATE(SelYear+1,1,1),'Absences'!$F$2:$F$13,"&lt;&gt;Yes"))</f>
        <v/>
      </c>
      <c r="F17" s="52">
        <f>IF($A17="","",C17-D17)</f>
        <v/>
      </c>
      <c r="G17" s="46">
        <f>IF($A17="","",SUMIFS('Absences'!$E$2:$E$13,'Absences'!$A$2:$A$13,$A17,'Absences'!$B$2:$B$13,"Sick leave",'Absences'!$C$2:$C$13,"&gt;="&amp;DATE(SelYear,1,1),'Absences'!$C$2:$C$13,"&lt;"&amp;DATE(SelYear+1,1,1)))</f>
        <v/>
      </c>
      <c r="H17" s="46">
        <f>IF($A17="","",SUMIFS('Absences'!$E$2:$E$13,'Absences'!$A$2:$A$13,$A17,'Absences'!$B$2:$B$13,"Other",'Absences'!$C$2:$C$13,"&gt;="&amp;DATE(SelYear,1,1),'Absences'!$C$2:$C$13,"&lt;"&amp;DATE(SelYear+1,1,1)))</f>
        <v/>
      </c>
      <c r="I17" s="46">
        <f>IF($A17="","",SUMIFS('Shifts'!$F$2:$F$13,'Shifts'!$A$2:$A$13,$A17,'Shifts'!$B$2:$B$13,"&gt;="&amp;DATE(SelYear,1,1),'Shifts'!$B$2:$B$13,"&lt;"&amp;DATE(SelYear+1,1,1)))</f>
        <v/>
      </c>
      <c r="J17" s="46">
        <f>IF($A17="","",SUMIFS('Shifts'!$F$2:$F$13,'Shifts'!$A$2:$A$13,$A17,'Shifts'!$B$2:$B$13,"&gt;="&amp;WeekStart,'Shifts'!$B$2:$B$13,"&lt;"&amp;WeekStart+7))</f>
        <v/>
      </c>
    </row>
    <row r="18">
      <c r="A18" s="51">
        <f>IF(INDEX(TeamList,14)="","",INDEX(TeamList,14))</f>
        <v/>
      </c>
      <c r="B18" s="41">
        <f>IF(INDEX(TeamRole,14)="","",INDEX(TeamRole,14))</f>
        <v/>
      </c>
      <c r="C18" s="46">
        <f>IF($A18="","",N(INDEX(TeamHoliday,MATCH($A18,TeamList,0))))</f>
        <v/>
      </c>
      <c r="D18" s="46">
        <f>IF($A18="","",SUMIFS('Absences'!$E$2:$E$13,'Absences'!$A$2:$A$13,$A18,'Absences'!$B$2:$B$13,"Holiday",'Absences'!$C$2:$C$13,"&gt;="&amp;DATE(SelYear,1,1),'Absences'!$C$2:$C$13,"&lt;"&amp;DATE(SelYear+1,1,1),'Absences'!$F$2:$F$13,"Yes"))</f>
        <v/>
      </c>
      <c r="E18" s="46">
        <f>IF($A18="","",SUMIFS('Absences'!$E$2:$E$13,'Absences'!$A$2:$A$13,$A18,'Absences'!$B$2:$B$13,"Holiday",'Absences'!$C$2:$C$13,"&gt;="&amp;DATE(SelYear,1,1),'Absences'!$C$2:$C$13,"&lt;"&amp;DATE(SelYear+1,1,1),'Absences'!$F$2:$F$13,"&lt;&gt;Yes"))</f>
        <v/>
      </c>
      <c r="F18" s="52">
        <f>IF($A18="","",C18-D18)</f>
        <v/>
      </c>
      <c r="G18" s="46">
        <f>IF($A18="","",SUMIFS('Absences'!$E$2:$E$13,'Absences'!$A$2:$A$13,$A18,'Absences'!$B$2:$B$13,"Sick leave",'Absences'!$C$2:$C$13,"&gt;="&amp;DATE(SelYear,1,1),'Absences'!$C$2:$C$13,"&lt;"&amp;DATE(SelYear+1,1,1)))</f>
        <v/>
      </c>
      <c r="H18" s="46">
        <f>IF($A18="","",SUMIFS('Absences'!$E$2:$E$13,'Absences'!$A$2:$A$13,$A18,'Absences'!$B$2:$B$13,"Other",'Absences'!$C$2:$C$13,"&gt;="&amp;DATE(SelYear,1,1),'Absences'!$C$2:$C$13,"&lt;"&amp;DATE(SelYear+1,1,1)))</f>
        <v/>
      </c>
      <c r="I18" s="46">
        <f>IF($A18="","",SUMIFS('Shifts'!$F$2:$F$13,'Shifts'!$A$2:$A$13,$A18,'Shifts'!$B$2:$B$13,"&gt;="&amp;DATE(SelYear,1,1),'Shifts'!$B$2:$B$13,"&lt;"&amp;DATE(SelYear+1,1,1)))</f>
        <v/>
      </c>
      <c r="J18" s="46">
        <f>IF($A18="","",SUMIFS('Shifts'!$F$2:$F$13,'Shifts'!$A$2:$A$13,$A18,'Shifts'!$B$2:$B$13,"&gt;="&amp;WeekStart,'Shifts'!$B$2:$B$13,"&lt;"&amp;WeekStart+7))</f>
        <v/>
      </c>
    </row>
    <row r="19">
      <c r="A19" s="51">
        <f>IF(INDEX(TeamList,15)="","",INDEX(TeamList,15))</f>
        <v/>
      </c>
      <c r="B19" s="41">
        <f>IF(INDEX(TeamRole,15)="","",INDEX(TeamRole,15))</f>
        <v/>
      </c>
      <c r="C19" s="46">
        <f>IF($A19="","",N(INDEX(TeamHoliday,MATCH($A19,TeamList,0))))</f>
        <v/>
      </c>
      <c r="D19" s="46">
        <f>IF($A19="","",SUMIFS('Absences'!$E$2:$E$13,'Absences'!$A$2:$A$13,$A19,'Absences'!$B$2:$B$13,"Holiday",'Absences'!$C$2:$C$13,"&gt;="&amp;DATE(SelYear,1,1),'Absences'!$C$2:$C$13,"&lt;"&amp;DATE(SelYear+1,1,1),'Absences'!$F$2:$F$13,"Yes"))</f>
        <v/>
      </c>
      <c r="E19" s="46">
        <f>IF($A19="","",SUMIFS('Absences'!$E$2:$E$13,'Absences'!$A$2:$A$13,$A19,'Absences'!$B$2:$B$13,"Holiday",'Absences'!$C$2:$C$13,"&gt;="&amp;DATE(SelYear,1,1),'Absences'!$C$2:$C$13,"&lt;"&amp;DATE(SelYear+1,1,1),'Absences'!$F$2:$F$13,"&lt;&gt;Yes"))</f>
        <v/>
      </c>
      <c r="F19" s="52">
        <f>IF($A19="","",C19-D19)</f>
        <v/>
      </c>
      <c r="G19" s="46">
        <f>IF($A19="","",SUMIFS('Absences'!$E$2:$E$13,'Absences'!$A$2:$A$13,$A19,'Absences'!$B$2:$B$13,"Sick leave",'Absences'!$C$2:$C$13,"&gt;="&amp;DATE(SelYear,1,1),'Absences'!$C$2:$C$13,"&lt;"&amp;DATE(SelYear+1,1,1)))</f>
        <v/>
      </c>
      <c r="H19" s="46">
        <f>IF($A19="","",SUMIFS('Absences'!$E$2:$E$13,'Absences'!$A$2:$A$13,$A19,'Absences'!$B$2:$B$13,"Other",'Absences'!$C$2:$C$13,"&gt;="&amp;DATE(SelYear,1,1),'Absences'!$C$2:$C$13,"&lt;"&amp;DATE(SelYear+1,1,1)))</f>
        <v/>
      </c>
      <c r="I19" s="46">
        <f>IF($A19="","",SUMIFS('Shifts'!$F$2:$F$13,'Shifts'!$A$2:$A$13,$A19,'Shifts'!$B$2:$B$13,"&gt;="&amp;DATE(SelYear,1,1),'Shifts'!$B$2:$B$13,"&lt;"&amp;DATE(SelYear+1,1,1)))</f>
        <v/>
      </c>
      <c r="J19" s="46">
        <f>IF($A19="","",SUMIFS('Shifts'!$F$2:$F$13,'Shifts'!$A$2:$A$13,$A19,'Shifts'!$B$2:$B$13,"&gt;="&amp;WeekStart,'Shifts'!$B$2:$B$13,"&lt;"&amp;WeekStart+7))</f>
        <v/>
      </c>
    </row>
    <row r="20">
      <c r="A20" s="51">
        <f>IF(INDEX(TeamList,16)="","",INDEX(TeamList,16))</f>
        <v/>
      </c>
      <c r="B20" s="41">
        <f>IF(INDEX(TeamRole,16)="","",INDEX(TeamRole,16))</f>
        <v/>
      </c>
      <c r="C20" s="46">
        <f>IF($A20="","",N(INDEX(TeamHoliday,MATCH($A20,TeamList,0))))</f>
        <v/>
      </c>
      <c r="D20" s="46">
        <f>IF($A20="","",SUMIFS('Absences'!$E$2:$E$13,'Absences'!$A$2:$A$13,$A20,'Absences'!$B$2:$B$13,"Holiday",'Absences'!$C$2:$C$13,"&gt;="&amp;DATE(SelYear,1,1),'Absences'!$C$2:$C$13,"&lt;"&amp;DATE(SelYear+1,1,1),'Absences'!$F$2:$F$13,"Yes"))</f>
        <v/>
      </c>
      <c r="E20" s="46">
        <f>IF($A20="","",SUMIFS('Absences'!$E$2:$E$13,'Absences'!$A$2:$A$13,$A20,'Absences'!$B$2:$B$13,"Holiday",'Absences'!$C$2:$C$13,"&gt;="&amp;DATE(SelYear,1,1),'Absences'!$C$2:$C$13,"&lt;"&amp;DATE(SelYear+1,1,1),'Absences'!$F$2:$F$13,"&lt;&gt;Yes"))</f>
        <v/>
      </c>
      <c r="F20" s="52">
        <f>IF($A20="","",C20-D20)</f>
        <v/>
      </c>
      <c r="G20" s="46">
        <f>IF($A20="","",SUMIFS('Absences'!$E$2:$E$13,'Absences'!$A$2:$A$13,$A20,'Absences'!$B$2:$B$13,"Sick leave",'Absences'!$C$2:$C$13,"&gt;="&amp;DATE(SelYear,1,1),'Absences'!$C$2:$C$13,"&lt;"&amp;DATE(SelYear+1,1,1)))</f>
        <v/>
      </c>
      <c r="H20" s="46">
        <f>IF($A20="","",SUMIFS('Absences'!$E$2:$E$13,'Absences'!$A$2:$A$13,$A20,'Absences'!$B$2:$B$13,"Other",'Absences'!$C$2:$C$13,"&gt;="&amp;DATE(SelYear,1,1),'Absences'!$C$2:$C$13,"&lt;"&amp;DATE(SelYear+1,1,1)))</f>
        <v/>
      </c>
      <c r="I20" s="46">
        <f>IF($A20="","",SUMIFS('Shifts'!$F$2:$F$13,'Shifts'!$A$2:$A$13,$A20,'Shifts'!$B$2:$B$13,"&gt;="&amp;DATE(SelYear,1,1),'Shifts'!$B$2:$B$13,"&lt;"&amp;DATE(SelYear+1,1,1)))</f>
        <v/>
      </c>
      <c r="J20" s="46">
        <f>IF($A20="","",SUMIFS('Shifts'!$F$2:$F$13,'Shifts'!$A$2:$A$13,$A20,'Shifts'!$B$2:$B$13,"&gt;="&amp;WeekStart,'Shifts'!$B$2:$B$13,"&lt;"&amp;WeekStart+7))</f>
        <v/>
      </c>
    </row>
    <row r="21">
      <c r="A21" s="51">
        <f>IF(INDEX(TeamList,17)="","",INDEX(TeamList,17))</f>
        <v/>
      </c>
      <c r="B21" s="41">
        <f>IF(INDEX(TeamRole,17)="","",INDEX(TeamRole,17))</f>
        <v/>
      </c>
      <c r="C21" s="46">
        <f>IF($A21="","",N(INDEX(TeamHoliday,MATCH($A21,TeamList,0))))</f>
        <v/>
      </c>
      <c r="D21" s="46">
        <f>IF($A21="","",SUMIFS('Absences'!$E$2:$E$13,'Absences'!$A$2:$A$13,$A21,'Absences'!$B$2:$B$13,"Holiday",'Absences'!$C$2:$C$13,"&gt;="&amp;DATE(SelYear,1,1),'Absences'!$C$2:$C$13,"&lt;"&amp;DATE(SelYear+1,1,1),'Absences'!$F$2:$F$13,"Yes"))</f>
        <v/>
      </c>
      <c r="E21" s="46">
        <f>IF($A21="","",SUMIFS('Absences'!$E$2:$E$13,'Absences'!$A$2:$A$13,$A21,'Absences'!$B$2:$B$13,"Holiday",'Absences'!$C$2:$C$13,"&gt;="&amp;DATE(SelYear,1,1),'Absences'!$C$2:$C$13,"&lt;"&amp;DATE(SelYear+1,1,1),'Absences'!$F$2:$F$13,"&lt;&gt;Yes"))</f>
        <v/>
      </c>
      <c r="F21" s="52">
        <f>IF($A21="","",C21-D21)</f>
        <v/>
      </c>
      <c r="G21" s="46">
        <f>IF($A21="","",SUMIFS('Absences'!$E$2:$E$13,'Absences'!$A$2:$A$13,$A21,'Absences'!$B$2:$B$13,"Sick leave",'Absences'!$C$2:$C$13,"&gt;="&amp;DATE(SelYear,1,1),'Absences'!$C$2:$C$13,"&lt;"&amp;DATE(SelYear+1,1,1)))</f>
        <v/>
      </c>
      <c r="H21" s="46">
        <f>IF($A21="","",SUMIFS('Absences'!$E$2:$E$13,'Absences'!$A$2:$A$13,$A21,'Absences'!$B$2:$B$13,"Other",'Absences'!$C$2:$C$13,"&gt;="&amp;DATE(SelYear,1,1),'Absences'!$C$2:$C$13,"&lt;"&amp;DATE(SelYear+1,1,1)))</f>
        <v/>
      </c>
      <c r="I21" s="46">
        <f>IF($A21="","",SUMIFS('Shifts'!$F$2:$F$13,'Shifts'!$A$2:$A$13,$A21,'Shifts'!$B$2:$B$13,"&gt;="&amp;DATE(SelYear,1,1),'Shifts'!$B$2:$B$13,"&lt;"&amp;DATE(SelYear+1,1,1)))</f>
        <v/>
      </c>
      <c r="J21" s="46">
        <f>IF($A21="","",SUMIFS('Shifts'!$F$2:$F$13,'Shifts'!$A$2:$A$13,$A21,'Shifts'!$B$2:$B$13,"&gt;="&amp;WeekStart,'Shifts'!$B$2:$B$13,"&lt;"&amp;WeekStart+7))</f>
        <v/>
      </c>
    </row>
    <row r="22">
      <c r="A22" s="51">
        <f>IF(INDEX(TeamList,18)="","",INDEX(TeamList,18))</f>
        <v/>
      </c>
      <c r="B22" s="41">
        <f>IF(INDEX(TeamRole,18)="","",INDEX(TeamRole,18))</f>
        <v/>
      </c>
      <c r="C22" s="46">
        <f>IF($A22="","",N(INDEX(TeamHoliday,MATCH($A22,TeamList,0))))</f>
        <v/>
      </c>
      <c r="D22" s="46">
        <f>IF($A22="","",SUMIFS('Absences'!$E$2:$E$13,'Absences'!$A$2:$A$13,$A22,'Absences'!$B$2:$B$13,"Holiday",'Absences'!$C$2:$C$13,"&gt;="&amp;DATE(SelYear,1,1),'Absences'!$C$2:$C$13,"&lt;"&amp;DATE(SelYear+1,1,1),'Absences'!$F$2:$F$13,"Yes"))</f>
        <v/>
      </c>
      <c r="E22" s="46">
        <f>IF($A22="","",SUMIFS('Absences'!$E$2:$E$13,'Absences'!$A$2:$A$13,$A22,'Absences'!$B$2:$B$13,"Holiday",'Absences'!$C$2:$C$13,"&gt;="&amp;DATE(SelYear,1,1),'Absences'!$C$2:$C$13,"&lt;"&amp;DATE(SelYear+1,1,1),'Absences'!$F$2:$F$13,"&lt;&gt;Yes"))</f>
        <v/>
      </c>
      <c r="F22" s="52">
        <f>IF($A22="","",C22-D22)</f>
        <v/>
      </c>
      <c r="G22" s="46">
        <f>IF($A22="","",SUMIFS('Absences'!$E$2:$E$13,'Absences'!$A$2:$A$13,$A22,'Absences'!$B$2:$B$13,"Sick leave",'Absences'!$C$2:$C$13,"&gt;="&amp;DATE(SelYear,1,1),'Absences'!$C$2:$C$13,"&lt;"&amp;DATE(SelYear+1,1,1)))</f>
        <v/>
      </c>
      <c r="H22" s="46">
        <f>IF($A22="","",SUMIFS('Absences'!$E$2:$E$13,'Absences'!$A$2:$A$13,$A22,'Absences'!$B$2:$B$13,"Other",'Absences'!$C$2:$C$13,"&gt;="&amp;DATE(SelYear,1,1),'Absences'!$C$2:$C$13,"&lt;"&amp;DATE(SelYear+1,1,1)))</f>
        <v/>
      </c>
      <c r="I22" s="46">
        <f>IF($A22="","",SUMIFS('Shifts'!$F$2:$F$13,'Shifts'!$A$2:$A$13,$A22,'Shifts'!$B$2:$B$13,"&gt;="&amp;DATE(SelYear,1,1),'Shifts'!$B$2:$B$13,"&lt;"&amp;DATE(SelYear+1,1,1)))</f>
        <v/>
      </c>
      <c r="J22" s="46">
        <f>IF($A22="","",SUMIFS('Shifts'!$F$2:$F$13,'Shifts'!$A$2:$A$13,$A22,'Shifts'!$B$2:$B$13,"&gt;="&amp;WeekStart,'Shifts'!$B$2:$B$13,"&lt;"&amp;WeekStart+7))</f>
        <v/>
      </c>
    </row>
    <row r="23">
      <c r="A23" s="51">
        <f>IF(INDEX(TeamList,19)="","",INDEX(TeamList,19))</f>
        <v/>
      </c>
      <c r="B23" s="41">
        <f>IF(INDEX(TeamRole,19)="","",INDEX(TeamRole,19))</f>
        <v/>
      </c>
      <c r="C23" s="46">
        <f>IF($A23="","",N(INDEX(TeamHoliday,MATCH($A23,TeamList,0))))</f>
        <v/>
      </c>
      <c r="D23" s="46">
        <f>IF($A23="","",SUMIFS('Absences'!$E$2:$E$13,'Absences'!$A$2:$A$13,$A23,'Absences'!$B$2:$B$13,"Holiday",'Absences'!$C$2:$C$13,"&gt;="&amp;DATE(SelYear,1,1),'Absences'!$C$2:$C$13,"&lt;"&amp;DATE(SelYear+1,1,1),'Absences'!$F$2:$F$13,"Yes"))</f>
        <v/>
      </c>
      <c r="E23" s="46">
        <f>IF($A23="","",SUMIFS('Absences'!$E$2:$E$13,'Absences'!$A$2:$A$13,$A23,'Absences'!$B$2:$B$13,"Holiday",'Absences'!$C$2:$C$13,"&gt;="&amp;DATE(SelYear,1,1),'Absences'!$C$2:$C$13,"&lt;"&amp;DATE(SelYear+1,1,1),'Absences'!$F$2:$F$13,"&lt;&gt;Yes"))</f>
        <v/>
      </c>
      <c r="F23" s="52">
        <f>IF($A23="","",C23-D23)</f>
        <v/>
      </c>
      <c r="G23" s="46">
        <f>IF($A23="","",SUMIFS('Absences'!$E$2:$E$13,'Absences'!$A$2:$A$13,$A23,'Absences'!$B$2:$B$13,"Sick leave",'Absences'!$C$2:$C$13,"&gt;="&amp;DATE(SelYear,1,1),'Absences'!$C$2:$C$13,"&lt;"&amp;DATE(SelYear+1,1,1)))</f>
        <v/>
      </c>
      <c r="H23" s="46">
        <f>IF($A23="","",SUMIFS('Absences'!$E$2:$E$13,'Absences'!$A$2:$A$13,$A23,'Absences'!$B$2:$B$13,"Other",'Absences'!$C$2:$C$13,"&gt;="&amp;DATE(SelYear,1,1),'Absences'!$C$2:$C$13,"&lt;"&amp;DATE(SelYear+1,1,1)))</f>
        <v/>
      </c>
      <c r="I23" s="46">
        <f>IF($A23="","",SUMIFS('Shifts'!$F$2:$F$13,'Shifts'!$A$2:$A$13,$A23,'Shifts'!$B$2:$B$13,"&gt;="&amp;DATE(SelYear,1,1),'Shifts'!$B$2:$B$13,"&lt;"&amp;DATE(SelYear+1,1,1)))</f>
        <v/>
      </c>
      <c r="J23" s="46">
        <f>IF($A23="","",SUMIFS('Shifts'!$F$2:$F$13,'Shifts'!$A$2:$A$13,$A23,'Shifts'!$B$2:$B$13,"&gt;="&amp;WeekStart,'Shifts'!$B$2:$B$13,"&lt;"&amp;WeekStart+7))</f>
        <v/>
      </c>
    </row>
    <row r="24">
      <c r="A24" s="51">
        <f>IF(INDEX(TeamList,20)="","",INDEX(TeamList,20))</f>
        <v/>
      </c>
      <c r="B24" s="41">
        <f>IF(INDEX(TeamRole,20)="","",INDEX(TeamRole,20))</f>
        <v/>
      </c>
      <c r="C24" s="46">
        <f>IF($A24="","",N(INDEX(TeamHoliday,MATCH($A24,TeamList,0))))</f>
        <v/>
      </c>
      <c r="D24" s="46">
        <f>IF($A24="","",SUMIFS('Absences'!$E$2:$E$13,'Absences'!$A$2:$A$13,$A24,'Absences'!$B$2:$B$13,"Holiday",'Absences'!$C$2:$C$13,"&gt;="&amp;DATE(SelYear,1,1),'Absences'!$C$2:$C$13,"&lt;"&amp;DATE(SelYear+1,1,1),'Absences'!$F$2:$F$13,"Yes"))</f>
        <v/>
      </c>
      <c r="E24" s="46">
        <f>IF($A24="","",SUMIFS('Absences'!$E$2:$E$13,'Absences'!$A$2:$A$13,$A24,'Absences'!$B$2:$B$13,"Holiday",'Absences'!$C$2:$C$13,"&gt;="&amp;DATE(SelYear,1,1),'Absences'!$C$2:$C$13,"&lt;"&amp;DATE(SelYear+1,1,1),'Absences'!$F$2:$F$13,"&lt;&gt;Yes"))</f>
        <v/>
      </c>
      <c r="F24" s="52">
        <f>IF($A24="","",C24-D24)</f>
        <v/>
      </c>
      <c r="G24" s="46">
        <f>IF($A24="","",SUMIFS('Absences'!$E$2:$E$13,'Absences'!$A$2:$A$13,$A24,'Absences'!$B$2:$B$13,"Sick leave",'Absences'!$C$2:$C$13,"&gt;="&amp;DATE(SelYear,1,1),'Absences'!$C$2:$C$13,"&lt;"&amp;DATE(SelYear+1,1,1)))</f>
        <v/>
      </c>
      <c r="H24" s="46">
        <f>IF($A24="","",SUMIFS('Absences'!$E$2:$E$13,'Absences'!$A$2:$A$13,$A24,'Absences'!$B$2:$B$13,"Other",'Absences'!$C$2:$C$13,"&gt;="&amp;DATE(SelYear,1,1),'Absences'!$C$2:$C$13,"&lt;"&amp;DATE(SelYear+1,1,1)))</f>
        <v/>
      </c>
      <c r="I24" s="46">
        <f>IF($A24="","",SUMIFS('Shifts'!$F$2:$F$13,'Shifts'!$A$2:$A$13,$A24,'Shifts'!$B$2:$B$13,"&gt;="&amp;DATE(SelYear,1,1),'Shifts'!$B$2:$B$13,"&lt;"&amp;DATE(SelYear+1,1,1)))</f>
        <v/>
      </c>
      <c r="J24" s="46">
        <f>IF($A24="","",SUMIFS('Shifts'!$F$2:$F$13,'Shifts'!$A$2:$A$13,$A24,'Shifts'!$B$2:$B$13,"&gt;="&amp;WeekStart,'Shifts'!$B$2:$B$13,"&lt;"&amp;WeekStart+7))</f>
        <v/>
      </c>
    </row>
    <row r="25">
      <c r="A25" s="51">
        <f>IF(INDEX(TeamList,21)="","",INDEX(TeamList,21))</f>
        <v/>
      </c>
      <c r="B25" s="41">
        <f>IF(INDEX(TeamRole,21)="","",INDEX(TeamRole,21))</f>
        <v/>
      </c>
      <c r="C25" s="46">
        <f>IF($A25="","",N(INDEX(TeamHoliday,MATCH($A25,TeamList,0))))</f>
        <v/>
      </c>
      <c r="D25" s="46">
        <f>IF($A25="","",SUMIFS('Absences'!$E$2:$E$13,'Absences'!$A$2:$A$13,$A25,'Absences'!$B$2:$B$13,"Holiday",'Absences'!$C$2:$C$13,"&gt;="&amp;DATE(SelYear,1,1),'Absences'!$C$2:$C$13,"&lt;"&amp;DATE(SelYear+1,1,1),'Absences'!$F$2:$F$13,"Yes"))</f>
        <v/>
      </c>
      <c r="E25" s="46">
        <f>IF($A25="","",SUMIFS('Absences'!$E$2:$E$13,'Absences'!$A$2:$A$13,$A25,'Absences'!$B$2:$B$13,"Holiday",'Absences'!$C$2:$C$13,"&gt;="&amp;DATE(SelYear,1,1),'Absences'!$C$2:$C$13,"&lt;"&amp;DATE(SelYear+1,1,1),'Absences'!$F$2:$F$13,"&lt;&gt;Yes"))</f>
        <v/>
      </c>
      <c r="F25" s="52">
        <f>IF($A25="","",C25-D25)</f>
        <v/>
      </c>
      <c r="G25" s="46">
        <f>IF($A25="","",SUMIFS('Absences'!$E$2:$E$13,'Absences'!$A$2:$A$13,$A25,'Absences'!$B$2:$B$13,"Sick leave",'Absences'!$C$2:$C$13,"&gt;="&amp;DATE(SelYear,1,1),'Absences'!$C$2:$C$13,"&lt;"&amp;DATE(SelYear+1,1,1)))</f>
        <v/>
      </c>
      <c r="H25" s="46">
        <f>IF($A25="","",SUMIFS('Absences'!$E$2:$E$13,'Absences'!$A$2:$A$13,$A25,'Absences'!$B$2:$B$13,"Other",'Absences'!$C$2:$C$13,"&gt;="&amp;DATE(SelYear,1,1),'Absences'!$C$2:$C$13,"&lt;"&amp;DATE(SelYear+1,1,1)))</f>
        <v/>
      </c>
      <c r="I25" s="46">
        <f>IF($A25="","",SUMIFS('Shifts'!$F$2:$F$13,'Shifts'!$A$2:$A$13,$A25,'Shifts'!$B$2:$B$13,"&gt;="&amp;DATE(SelYear,1,1),'Shifts'!$B$2:$B$13,"&lt;"&amp;DATE(SelYear+1,1,1)))</f>
        <v/>
      </c>
      <c r="J25" s="46">
        <f>IF($A25="","",SUMIFS('Shifts'!$F$2:$F$13,'Shifts'!$A$2:$A$13,$A25,'Shifts'!$B$2:$B$13,"&gt;="&amp;WeekStart,'Shifts'!$B$2:$B$13,"&lt;"&amp;WeekStart+7))</f>
        <v/>
      </c>
    </row>
    <row r="26">
      <c r="A26" s="51">
        <f>IF(INDEX(TeamList,22)="","",INDEX(TeamList,22))</f>
        <v/>
      </c>
      <c r="B26" s="41">
        <f>IF(INDEX(TeamRole,22)="","",INDEX(TeamRole,22))</f>
        <v/>
      </c>
      <c r="C26" s="46">
        <f>IF($A26="","",N(INDEX(TeamHoliday,MATCH($A26,TeamList,0))))</f>
        <v/>
      </c>
      <c r="D26" s="46">
        <f>IF($A26="","",SUMIFS('Absences'!$E$2:$E$13,'Absences'!$A$2:$A$13,$A26,'Absences'!$B$2:$B$13,"Holiday",'Absences'!$C$2:$C$13,"&gt;="&amp;DATE(SelYear,1,1),'Absences'!$C$2:$C$13,"&lt;"&amp;DATE(SelYear+1,1,1),'Absences'!$F$2:$F$13,"Yes"))</f>
        <v/>
      </c>
      <c r="E26" s="46">
        <f>IF($A26="","",SUMIFS('Absences'!$E$2:$E$13,'Absences'!$A$2:$A$13,$A26,'Absences'!$B$2:$B$13,"Holiday",'Absences'!$C$2:$C$13,"&gt;="&amp;DATE(SelYear,1,1),'Absences'!$C$2:$C$13,"&lt;"&amp;DATE(SelYear+1,1,1),'Absences'!$F$2:$F$13,"&lt;&gt;Yes"))</f>
        <v/>
      </c>
      <c r="F26" s="52">
        <f>IF($A26="","",C26-D26)</f>
        <v/>
      </c>
      <c r="G26" s="46">
        <f>IF($A26="","",SUMIFS('Absences'!$E$2:$E$13,'Absences'!$A$2:$A$13,$A26,'Absences'!$B$2:$B$13,"Sick leave",'Absences'!$C$2:$C$13,"&gt;="&amp;DATE(SelYear,1,1),'Absences'!$C$2:$C$13,"&lt;"&amp;DATE(SelYear+1,1,1)))</f>
        <v/>
      </c>
      <c r="H26" s="46">
        <f>IF($A26="","",SUMIFS('Absences'!$E$2:$E$13,'Absences'!$A$2:$A$13,$A26,'Absences'!$B$2:$B$13,"Other",'Absences'!$C$2:$C$13,"&gt;="&amp;DATE(SelYear,1,1),'Absences'!$C$2:$C$13,"&lt;"&amp;DATE(SelYear+1,1,1)))</f>
        <v/>
      </c>
      <c r="I26" s="46">
        <f>IF($A26="","",SUMIFS('Shifts'!$F$2:$F$13,'Shifts'!$A$2:$A$13,$A26,'Shifts'!$B$2:$B$13,"&gt;="&amp;DATE(SelYear,1,1),'Shifts'!$B$2:$B$13,"&lt;"&amp;DATE(SelYear+1,1,1)))</f>
        <v/>
      </c>
      <c r="J26" s="46">
        <f>IF($A26="","",SUMIFS('Shifts'!$F$2:$F$13,'Shifts'!$A$2:$A$13,$A26,'Shifts'!$B$2:$B$13,"&gt;="&amp;WeekStart,'Shifts'!$B$2:$B$13,"&lt;"&amp;WeekStart+7))</f>
        <v/>
      </c>
    </row>
    <row r="27">
      <c r="A27" s="51">
        <f>IF(INDEX(TeamList,23)="","",INDEX(TeamList,23))</f>
        <v/>
      </c>
      <c r="B27" s="41">
        <f>IF(INDEX(TeamRole,23)="","",INDEX(TeamRole,23))</f>
        <v/>
      </c>
      <c r="C27" s="46">
        <f>IF($A27="","",N(INDEX(TeamHoliday,MATCH($A27,TeamList,0))))</f>
        <v/>
      </c>
      <c r="D27" s="46">
        <f>IF($A27="","",SUMIFS('Absences'!$E$2:$E$13,'Absences'!$A$2:$A$13,$A27,'Absences'!$B$2:$B$13,"Holiday",'Absences'!$C$2:$C$13,"&gt;="&amp;DATE(SelYear,1,1),'Absences'!$C$2:$C$13,"&lt;"&amp;DATE(SelYear+1,1,1),'Absences'!$F$2:$F$13,"Yes"))</f>
        <v/>
      </c>
      <c r="E27" s="46">
        <f>IF($A27="","",SUMIFS('Absences'!$E$2:$E$13,'Absences'!$A$2:$A$13,$A27,'Absences'!$B$2:$B$13,"Holiday",'Absences'!$C$2:$C$13,"&gt;="&amp;DATE(SelYear,1,1),'Absences'!$C$2:$C$13,"&lt;"&amp;DATE(SelYear+1,1,1),'Absences'!$F$2:$F$13,"&lt;&gt;Yes"))</f>
        <v/>
      </c>
      <c r="F27" s="52">
        <f>IF($A27="","",C27-D27)</f>
        <v/>
      </c>
      <c r="G27" s="46">
        <f>IF($A27="","",SUMIFS('Absences'!$E$2:$E$13,'Absences'!$A$2:$A$13,$A27,'Absences'!$B$2:$B$13,"Sick leave",'Absences'!$C$2:$C$13,"&gt;="&amp;DATE(SelYear,1,1),'Absences'!$C$2:$C$13,"&lt;"&amp;DATE(SelYear+1,1,1)))</f>
        <v/>
      </c>
      <c r="H27" s="46">
        <f>IF($A27="","",SUMIFS('Absences'!$E$2:$E$13,'Absences'!$A$2:$A$13,$A27,'Absences'!$B$2:$B$13,"Other",'Absences'!$C$2:$C$13,"&gt;="&amp;DATE(SelYear,1,1),'Absences'!$C$2:$C$13,"&lt;"&amp;DATE(SelYear+1,1,1)))</f>
        <v/>
      </c>
      <c r="I27" s="46">
        <f>IF($A27="","",SUMIFS('Shifts'!$F$2:$F$13,'Shifts'!$A$2:$A$13,$A27,'Shifts'!$B$2:$B$13,"&gt;="&amp;DATE(SelYear,1,1),'Shifts'!$B$2:$B$13,"&lt;"&amp;DATE(SelYear+1,1,1)))</f>
        <v/>
      </c>
      <c r="J27" s="46">
        <f>IF($A27="","",SUMIFS('Shifts'!$F$2:$F$13,'Shifts'!$A$2:$A$13,$A27,'Shifts'!$B$2:$B$13,"&gt;="&amp;WeekStart,'Shifts'!$B$2:$B$13,"&lt;"&amp;WeekStart+7))</f>
        <v/>
      </c>
    </row>
    <row r="28">
      <c r="A28" s="51">
        <f>IF(INDEX(TeamList,24)="","",INDEX(TeamList,24))</f>
        <v/>
      </c>
      <c r="B28" s="41">
        <f>IF(INDEX(TeamRole,24)="","",INDEX(TeamRole,24))</f>
        <v/>
      </c>
      <c r="C28" s="46">
        <f>IF($A28="","",N(INDEX(TeamHoliday,MATCH($A28,TeamList,0))))</f>
        <v/>
      </c>
      <c r="D28" s="46">
        <f>IF($A28="","",SUMIFS('Absences'!$E$2:$E$13,'Absences'!$A$2:$A$13,$A28,'Absences'!$B$2:$B$13,"Holiday",'Absences'!$C$2:$C$13,"&gt;="&amp;DATE(SelYear,1,1),'Absences'!$C$2:$C$13,"&lt;"&amp;DATE(SelYear+1,1,1),'Absences'!$F$2:$F$13,"Yes"))</f>
        <v/>
      </c>
      <c r="E28" s="46">
        <f>IF($A28="","",SUMIFS('Absences'!$E$2:$E$13,'Absences'!$A$2:$A$13,$A28,'Absences'!$B$2:$B$13,"Holiday",'Absences'!$C$2:$C$13,"&gt;="&amp;DATE(SelYear,1,1),'Absences'!$C$2:$C$13,"&lt;"&amp;DATE(SelYear+1,1,1),'Absences'!$F$2:$F$13,"&lt;&gt;Yes"))</f>
        <v/>
      </c>
      <c r="F28" s="52">
        <f>IF($A28="","",C28-D28)</f>
        <v/>
      </c>
      <c r="G28" s="46">
        <f>IF($A28="","",SUMIFS('Absences'!$E$2:$E$13,'Absences'!$A$2:$A$13,$A28,'Absences'!$B$2:$B$13,"Sick leave",'Absences'!$C$2:$C$13,"&gt;="&amp;DATE(SelYear,1,1),'Absences'!$C$2:$C$13,"&lt;"&amp;DATE(SelYear+1,1,1)))</f>
        <v/>
      </c>
      <c r="H28" s="46">
        <f>IF($A28="","",SUMIFS('Absences'!$E$2:$E$13,'Absences'!$A$2:$A$13,$A28,'Absences'!$B$2:$B$13,"Other",'Absences'!$C$2:$C$13,"&gt;="&amp;DATE(SelYear,1,1),'Absences'!$C$2:$C$13,"&lt;"&amp;DATE(SelYear+1,1,1)))</f>
        <v/>
      </c>
      <c r="I28" s="46">
        <f>IF($A28="","",SUMIFS('Shifts'!$F$2:$F$13,'Shifts'!$A$2:$A$13,$A28,'Shifts'!$B$2:$B$13,"&gt;="&amp;DATE(SelYear,1,1),'Shifts'!$B$2:$B$13,"&lt;"&amp;DATE(SelYear+1,1,1)))</f>
        <v/>
      </c>
      <c r="J28" s="46">
        <f>IF($A28="","",SUMIFS('Shifts'!$F$2:$F$13,'Shifts'!$A$2:$A$13,$A28,'Shifts'!$B$2:$B$13,"&gt;="&amp;WeekStart,'Shifts'!$B$2:$B$13,"&lt;"&amp;WeekStart+7))</f>
        <v/>
      </c>
    </row>
    <row r="29">
      <c r="A29" s="51">
        <f>IF(INDEX(TeamList,25)="","",INDEX(TeamList,25))</f>
        <v/>
      </c>
      <c r="B29" s="41">
        <f>IF(INDEX(TeamRole,25)="","",INDEX(TeamRole,25))</f>
        <v/>
      </c>
      <c r="C29" s="46">
        <f>IF($A29="","",N(INDEX(TeamHoliday,MATCH($A29,TeamList,0))))</f>
        <v/>
      </c>
      <c r="D29" s="46">
        <f>IF($A29="","",SUMIFS('Absences'!$E$2:$E$13,'Absences'!$A$2:$A$13,$A29,'Absences'!$B$2:$B$13,"Holiday",'Absences'!$C$2:$C$13,"&gt;="&amp;DATE(SelYear,1,1),'Absences'!$C$2:$C$13,"&lt;"&amp;DATE(SelYear+1,1,1),'Absences'!$F$2:$F$13,"Yes"))</f>
        <v/>
      </c>
      <c r="E29" s="46">
        <f>IF($A29="","",SUMIFS('Absences'!$E$2:$E$13,'Absences'!$A$2:$A$13,$A29,'Absences'!$B$2:$B$13,"Holiday",'Absences'!$C$2:$C$13,"&gt;="&amp;DATE(SelYear,1,1),'Absences'!$C$2:$C$13,"&lt;"&amp;DATE(SelYear+1,1,1),'Absences'!$F$2:$F$13,"&lt;&gt;Yes"))</f>
        <v/>
      </c>
      <c r="F29" s="52">
        <f>IF($A29="","",C29-D29)</f>
        <v/>
      </c>
      <c r="G29" s="46">
        <f>IF($A29="","",SUMIFS('Absences'!$E$2:$E$13,'Absences'!$A$2:$A$13,$A29,'Absences'!$B$2:$B$13,"Sick leave",'Absences'!$C$2:$C$13,"&gt;="&amp;DATE(SelYear,1,1),'Absences'!$C$2:$C$13,"&lt;"&amp;DATE(SelYear+1,1,1)))</f>
        <v/>
      </c>
      <c r="H29" s="46">
        <f>IF($A29="","",SUMIFS('Absences'!$E$2:$E$13,'Absences'!$A$2:$A$13,$A29,'Absences'!$B$2:$B$13,"Other",'Absences'!$C$2:$C$13,"&gt;="&amp;DATE(SelYear,1,1),'Absences'!$C$2:$C$13,"&lt;"&amp;DATE(SelYear+1,1,1)))</f>
        <v/>
      </c>
      <c r="I29" s="46">
        <f>IF($A29="","",SUMIFS('Shifts'!$F$2:$F$13,'Shifts'!$A$2:$A$13,$A29,'Shifts'!$B$2:$B$13,"&gt;="&amp;DATE(SelYear,1,1),'Shifts'!$B$2:$B$13,"&lt;"&amp;DATE(SelYear+1,1,1)))</f>
        <v/>
      </c>
      <c r="J29" s="46">
        <f>IF($A29="","",SUMIFS('Shifts'!$F$2:$F$13,'Shifts'!$A$2:$A$13,$A29,'Shifts'!$B$2:$B$13,"&gt;="&amp;WeekStart,'Shifts'!$B$2:$B$13,"&lt;"&amp;WeekStart+7))</f>
        <v/>
      </c>
    </row>
    <row r="30">
      <c r="A30" s="51">
        <f>IF(INDEX(TeamList,26)="","",INDEX(TeamList,26))</f>
        <v/>
      </c>
      <c r="B30" s="41">
        <f>IF(INDEX(TeamRole,26)="","",INDEX(TeamRole,26))</f>
        <v/>
      </c>
      <c r="C30" s="46">
        <f>IF($A30="","",N(INDEX(TeamHoliday,MATCH($A30,TeamList,0))))</f>
        <v/>
      </c>
      <c r="D30" s="46">
        <f>IF($A30="","",SUMIFS('Absences'!$E$2:$E$13,'Absences'!$A$2:$A$13,$A30,'Absences'!$B$2:$B$13,"Holiday",'Absences'!$C$2:$C$13,"&gt;="&amp;DATE(SelYear,1,1),'Absences'!$C$2:$C$13,"&lt;"&amp;DATE(SelYear+1,1,1),'Absences'!$F$2:$F$13,"Yes"))</f>
        <v/>
      </c>
      <c r="E30" s="46">
        <f>IF($A30="","",SUMIFS('Absences'!$E$2:$E$13,'Absences'!$A$2:$A$13,$A30,'Absences'!$B$2:$B$13,"Holiday",'Absences'!$C$2:$C$13,"&gt;="&amp;DATE(SelYear,1,1),'Absences'!$C$2:$C$13,"&lt;"&amp;DATE(SelYear+1,1,1),'Absences'!$F$2:$F$13,"&lt;&gt;Yes"))</f>
        <v/>
      </c>
      <c r="F30" s="52">
        <f>IF($A30="","",C30-D30)</f>
        <v/>
      </c>
      <c r="G30" s="46">
        <f>IF($A30="","",SUMIFS('Absences'!$E$2:$E$13,'Absences'!$A$2:$A$13,$A30,'Absences'!$B$2:$B$13,"Sick leave",'Absences'!$C$2:$C$13,"&gt;="&amp;DATE(SelYear,1,1),'Absences'!$C$2:$C$13,"&lt;"&amp;DATE(SelYear+1,1,1)))</f>
        <v/>
      </c>
      <c r="H30" s="46">
        <f>IF($A30="","",SUMIFS('Absences'!$E$2:$E$13,'Absences'!$A$2:$A$13,$A30,'Absences'!$B$2:$B$13,"Other",'Absences'!$C$2:$C$13,"&gt;="&amp;DATE(SelYear,1,1),'Absences'!$C$2:$C$13,"&lt;"&amp;DATE(SelYear+1,1,1)))</f>
        <v/>
      </c>
      <c r="I30" s="46">
        <f>IF($A30="","",SUMIFS('Shifts'!$F$2:$F$13,'Shifts'!$A$2:$A$13,$A30,'Shifts'!$B$2:$B$13,"&gt;="&amp;DATE(SelYear,1,1),'Shifts'!$B$2:$B$13,"&lt;"&amp;DATE(SelYear+1,1,1)))</f>
        <v/>
      </c>
      <c r="J30" s="46">
        <f>IF($A30="","",SUMIFS('Shifts'!$F$2:$F$13,'Shifts'!$A$2:$A$13,$A30,'Shifts'!$B$2:$B$13,"&gt;="&amp;WeekStart,'Shifts'!$B$2:$B$13,"&lt;"&amp;WeekStart+7))</f>
        <v/>
      </c>
    </row>
    <row r="31">
      <c r="A31" s="51">
        <f>IF(INDEX(TeamList,27)="","",INDEX(TeamList,27))</f>
        <v/>
      </c>
      <c r="B31" s="41">
        <f>IF(INDEX(TeamRole,27)="","",INDEX(TeamRole,27))</f>
        <v/>
      </c>
      <c r="C31" s="46">
        <f>IF($A31="","",N(INDEX(TeamHoliday,MATCH($A31,TeamList,0))))</f>
        <v/>
      </c>
      <c r="D31" s="46">
        <f>IF($A31="","",SUMIFS('Absences'!$E$2:$E$13,'Absences'!$A$2:$A$13,$A31,'Absences'!$B$2:$B$13,"Holiday",'Absences'!$C$2:$C$13,"&gt;="&amp;DATE(SelYear,1,1),'Absences'!$C$2:$C$13,"&lt;"&amp;DATE(SelYear+1,1,1),'Absences'!$F$2:$F$13,"Yes"))</f>
        <v/>
      </c>
      <c r="E31" s="46">
        <f>IF($A31="","",SUMIFS('Absences'!$E$2:$E$13,'Absences'!$A$2:$A$13,$A31,'Absences'!$B$2:$B$13,"Holiday",'Absences'!$C$2:$C$13,"&gt;="&amp;DATE(SelYear,1,1),'Absences'!$C$2:$C$13,"&lt;"&amp;DATE(SelYear+1,1,1),'Absences'!$F$2:$F$13,"&lt;&gt;Yes"))</f>
        <v/>
      </c>
      <c r="F31" s="52">
        <f>IF($A31="","",C31-D31)</f>
        <v/>
      </c>
      <c r="G31" s="46">
        <f>IF($A31="","",SUMIFS('Absences'!$E$2:$E$13,'Absences'!$A$2:$A$13,$A31,'Absences'!$B$2:$B$13,"Sick leave",'Absences'!$C$2:$C$13,"&gt;="&amp;DATE(SelYear,1,1),'Absences'!$C$2:$C$13,"&lt;"&amp;DATE(SelYear+1,1,1)))</f>
        <v/>
      </c>
      <c r="H31" s="46">
        <f>IF($A31="","",SUMIFS('Absences'!$E$2:$E$13,'Absences'!$A$2:$A$13,$A31,'Absences'!$B$2:$B$13,"Other",'Absences'!$C$2:$C$13,"&gt;="&amp;DATE(SelYear,1,1),'Absences'!$C$2:$C$13,"&lt;"&amp;DATE(SelYear+1,1,1)))</f>
        <v/>
      </c>
      <c r="I31" s="46">
        <f>IF($A31="","",SUMIFS('Shifts'!$F$2:$F$13,'Shifts'!$A$2:$A$13,$A31,'Shifts'!$B$2:$B$13,"&gt;="&amp;DATE(SelYear,1,1),'Shifts'!$B$2:$B$13,"&lt;"&amp;DATE(SelYear+1,1,1)))</f>
        <v/>
      </c>
      <c r="J31" s="46">
        <f>IF($A31="","",SUMIFS('Shifts'!$F$2:$F$13,'Shifts'!$A$2:$A$13,$A31,'Shifts'!$B$2:$B$13,"&gt;="&amp;WeekStart,'Shifts'!$B$2:$B$13,"&lt;"&amp;WeekStart+7))</f>
        <v/>
      </c>
    </row>
    <row r="32">
      <c r="A32" s="51">
        <f>IF(INDEX(TeamList,28)="","",INDEX(TeamList,28))</f>
        <v/>
      </c>
      <c r="B32" s="41">
        <f>IF(INDEX(TeamRole,28)="","",INDEX(TeamRole,28))</f>
        <v/>
      </c>
      <c r="C32" s="46">
        <f>IF($A32="","",N(INDEX(TeamHoliday,MATCH($A32,TeamList,0))))</f>
        <v/>
      </c>
      <c r="D32" s="46">
        <f>IF($A32="","",SUMIFS('Absences'!$E$2:$E$13,'Absences'!$A$2:$A$13,$A32,'Absences'!$B$2:$B$13,"Holiday",'Absences'!$C$2:$C$13,"&gt;="&amp;DATE(SelYear,1,1),'Absences'!$C$2:$C$13,"&lt;"&amp;DATE(SelYear+1,1,1),'Absences'!$F$2:$F$13,"Yes"))</f>
        <v/>
      </c>
      <c r="E32" s="46">
        <f>IF($A32="","",SUMIFS('Absences'!$E$2:$E$13,'Absences'!$A$2:$A$13,$A32,'Absences'!$B$2:$B$13,"Holiday",'Absences'!$C$2:$C$13,"&gt;="&amp;DATE(SelYear,1,1),'Absences'!$C$2:$C$13,"&lt;"&amp;DATE(SelYear+1,1,1),'Absences'!$F$2:$F$13,"&lt;&gt;Yes"))</f>
        <v/>
      </c>
      <c r="F32" s="52">
        <f>IF($A32="","",C32-D32)</f>
        <v/>
      </c>
      <c r="G32" s="46">
        <f>IF($A32="","",SUMIFS('Absences'!$E$2:$E$13,'Absences'!$A$2:$A$13,$A32,'Absences'!$B$2:$B$13,"Sick leave",'Absences'!$C$2:$C$13,"&gt;="&amp;DATE(SelYear,1,1),'Absences'!$C$2:$C$13,"&lt;"&amp;DATE(SelYear+1,1,1)))</f>
        <v/>
      </c>
      <c r="H32" s="46">
        <f>IF($A32="","",SUMIFS('Absences'!$E$2:$E$13,'Absences'!$A$2:$A$13,$A32,'Absences'!$B$2:$B$13,"Other",'Absences'!$C$2:$C$13,"&gt;="&amp;DATE(SelYear,1,1),'Absences'!$C$2:$C$13,"&lt;"&amp;DATE(SelYear+1,1,1)))</f>
        <v/>
      </c>
      <c r="I32" s="46">
        <f>IF($A32="","",SUMIFS('Shifts'!$F$2:$F$13,'Shifts'!$A$2:$A$13,$A32,'Shifts'!$B$2:$B$13,"&gt;="&amp;DATE(SelYear,1,1),'Shifts'!$B$2:$B$13,"&lt;"&amp;DATE(SelYear+1,1,1)))</f>
        <v/>
      </c>
      <c r="J32" s="46">
        <f>IF($A32="","",SUMIFS('Shifts'!$F$2:$F$13,'Shifts'!$A$2:$A$13,$A32,'Shifts'!$B$2:$B$13,"&gt;="&amp;WeekStart,'Shifts'!$B$2:$B$13,"&lt;"&amp;WeekStart+7))</f>
        <v/>
      </c>
    </row>
    <row r="33">
      <c r="A33" s="51">
        <f>IF(INDEX(TeamList,29)="","",INDEX(TeamList,29))</f>
        <v/>
      </c>
      <c r="B33" s="41">
        <f>IF(INDEX(TeamRole,29)="","",INDEX(TeamRole,29))</f>
        <v/>
      </c>
      <c r="C33" s="46">
        <f>IF($A33="","",N(INDEX(TeamHoliday,MATCH($A33,TeamList,0))))</f>
        <v/>
      </c>
      <c r="D33" s="46">
        <f>IF($A33="","",SUMIFS('Absences'!$E$2:$E$13,'Absences'!$A$2:$A$13,$A33,'Absences'!$B$2:$B$13,"Holiday",'Absences'!$C$2:$C$13,"&gt;="&amp;DATE(SelYear,1,1),'Absences'!$C$2:$C$13,"&lt;"&amp;DATE(SelYear+1,1,1),'Absences'!$F$2:$F$13,"Yes"))</f>
        <v/>
      </c>
      <c r="E33" s="46">
        <f>IF($A33="","",SUMIFS('Absences'!$E$2:$E$13,'Absences'!$A$2:$A$13,$A33,'Absences'!$B$2:$B$13,"Holiday",'Absences'!$C$2:$C$13,"&gt;="&amp;DATE(SelYear,1,1),'Absences'!$C$2:$C$13,"&lt;"&amp;DATE(SelYear+1,1,1),'Absences'!$F$2:$F$13,"&lt;&gt;Yes"))</f>
        <v/>
      </c>
      <c r="F33" s="52">
        <f>IF($A33="","",C33-D33)</f>
        <v/>
      </c>
      <c r="G33" s="46">
        <f>IF($A33="","",SUMIFS('Absences'!$E$2:$E$13,'Absences'!$A$2:$A$13,$A33,'Absences'!$B$2:$B$13,"Sick leave",'Absences'!$C$2:$C$13,"&gt;="&amp;DATE(SelYear,1,1),'Absences'!$C$2:$C$13,"&lt;"&amp;DATE(SelYear+1,1,1)))</f>
        <v/>
      </c>
      <c r="H33" s="46">
        <f>IF($A33="","",SUMIFS('Absences'!$E$2:$E$13,'Absences'!$A$2:$A$13,$A33,'Absences'!$B$2:$B$13,"Other",'Absences'!$C$2:$C$13,"&gt;="&amp;DATE(SelYear,1,1),'Absences'!$C$2:$C$13,"&lt;"&amp;DATE(SelYear+1,1,1)))</f>
        <v/>
      </c>
      <c r="I33" s="46">
        <f>IF($A33="","",SUMIFS('Shifts'!$F$2:$F$13,'Shifts'!$A$2:$A$13,$A33,'Shifts'!$B$2:$B$13,"&gt;="&amp;DATE(SelYear,1,1),'Shifts'!$B$2:$B$13,"&lt;"&amp;DATE(SelYear+1,1,1)))</f>
        <v/>
      </c>
      <c r="J33" s="46">
        <f>IF($A33="","",SUMIFS('Shifts'!$F$2:$F$13,'Shifts'!$A$2:$A$13,$A33,'Shifts'!$B$2:$B$13,"&gt;="&amp;WeekStart,'Shifts'!$B$2:$B$13,"&lt;"&amp;WeekStart+7))</f>
        <v/>
      </c>
    </row>
    <row r="34">
      <c r="A34" s="51">
        <f>IF(INDEX(TeamList,30)="","",INDEX(TeamList,30))</f>
        <v/>
      </c>
      <c r="B34" s="41">
        <f>IF(INDEX(TeamRole,30)="","",INDEX(TeamRole,30))</f>
        <v/>
      </c>
      <c r="C34" s="46">
        <f>IF($A34="","",N(INDEX(TeamHoliday,MATCH($A34,TeamList,0))))</f>
        <v/>
      </c>
      <c r="D34" s="46">
        <f>IF($A34="","",SUMIFS('Absences'!$E$2:$E$13,'Absences'!$A$2:$A$13,$A34,'Absences'!$B$2:$B$13,"Holiday",'Absences'!$C$2:$C$13,"&gt;="&amp;DATE(SelYear,1,1),'Absences'!$C$2:$C$13,"&lt;"&amp;DATE(SelYear+1,1,1),'Absences'!$F$2:$F$13,"Yes"))</f>
        <v/>
      </c>
      <c r="E34" s="46">
        <f>IF($A34="","",SUMIFS('Absences'!$E$2:$E$13,'Absences'!$A$2:$A$13,$A34,'Absences'!$B$2:$B$13,"Holiday",'Absences'!$C$2:$C$13,"&gt;="&amp;DATE(SelYear,1,1),'Absences'!$C$2:$C$13,"&lt;"&amp;DATE(SelYear+1,1,1),'Absences'!$F$2:$F$13,"&lt;&gt;Yes"))</f>
        <v/>
      </c>
      <c r="F34" s="52">
        <f>IF($A34="","",C34-D34)</f>
        <v/>
      </c>
      <c r="G34" s="46">
        <f>IF($A34="","",SUMIFS('Absences'!$E$2:$E$13,'Absences'!$A$2:$A$13,$A34,'Absences'!$B$2:$B$13,"Sick leave",'Absences'!$C$2:$C$13,"&gt;="&amp;DATE(SelYear,1,1),'Absences'!$C$2:$C$13,"&lt;"&amp;DATE(SelYear+1,1,1)))</f>
        <v/>
      </c>
      <c r="H34" s="46">
        <f>IF($A34="","",SUMIFS('Absences'!$E$2:$E$13,'Absences'!$A$2:$A$13,$A34,'Absences'!$B$2:$B$13,"Other",'Absences'!$C$2:$C$13,"&gt;="&amp;DATE(SelYear,1,1),'Absences'!$C$2:$C$13,"&lt;"&amp;DATE(SelYear+1,1,1)))</f>
        <v/>
      </c>
      <c r="I34" s="46">
        <f>IF($A34="","",SUMIFS('Shifts'!$F$2:$F$13,'Shifts'!$A$2:$A$13,$A34,'Shifts'!$B$2:$B$13,"&gt;="&amp;DATE(SelYear,1,1),'Shifts'!$B$2:$B$13,"&lt;"&amp;DATE(SelYear+1,1,1)))</f>
        <v/>
      </c>
      <c r="J34" s="46">
        <f>IF($A34="","",SUMIFS('Shifts'!$F$2:$F$13,'Shifts'!$A$2:$A$13,$A34,'Shifts'!$B$2:$B$13,"&gt;="&amp;WeekStart,'Shifts'!$B$2:$B$13,"&lt;"&amp;WeekStart+7))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F5:F34">
    <cfRule type="cellIs" priority="1" operator="lessThan" dxfId="4">
      <formula>0</formula>
    </cfRule>
  </conditionalFormatting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J3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16" customWidth="1" min="4" max="4"/>
    <col width="3" customWidth="1" min="5" max="5"/>
    <col width="18" customWidth="1" min="6" max="6"/>
    <col width="3" customWidth="1" min="7" max="7"/>
    <col width="12" customWidth="1" min="8" max="8"/>
    <col width="3" customWidth="1" min="9" max="9"/>
    <col width="26" customWidth="1" min="10" max="10"/>
    <col width="12" customWidth="1" min="11" max="11"/>
    <col width="3" customWidth="1" min="12" max="12"/>
    <col width="20" customWidth="1" min="13" max="13"/>
    <col width="3" customWidth="1" min="14" max="14"/>
    <col width="22" customWidth="1" min="15" max="15"/>
    <col width="18" customWidth="1" min="16" max="16"/>
    <col width="16" customWidth="1" min="17" max="17"/>
    <col width="14" customWidth="1" min="18" max="18"/>
    <col width="3" customWidth="1" min="19" max="19"/>
    <col width="14" customWidth="1" min="20" max="20"/>
    <col width="3" customWidth="1" min="21" max="21"/>
    <col width="14" customWidth="1" min="22" max="22"/>
    <col width="3" customWidth="1" min="23" max="23"/>
    <col width="18" customWidth="1" min="24" max="24"/>
    <col width="3" customWidth="1" min="25" max="25"/>
    <col width="10" customWidth="1" min="26" max="26"/>
    <col width="3" customWidth="1" min="27" max="27"/>
    <col width="12" customWidth="1" min="28" max="28"/>
    <col width="3" customWidth="1" min="29" max="29"/>
    <col width="14" customWidth="1" min="30" max="30"/>
    <col width="3" customWidth="1" min="31" max="31"/>
    <col width="8" customWidth="1" min="32" max="32"/>
    <col width="12" customWidth="1" min="33" max="33"/>
    <col width="3" customWidth="1" min="34" max="34"/>
    <col width="30" customWidth="1" min="35" max="35"/>
    <col width="12" customWidth="1" min="36" max="36"/>
    <col width="3" customWidth="1" min="37" max="37"/>
  </cols>
  <sheetData>
    <row r="1">
      <c r="A1" s="1" t="inlineStr">
        <is>
          <t>Settings</t>
        </is>
      </c>
    </row>
    <row r="2">
      <c r="A2" s="3" t="inlineStr">
        <is>
          <t>Yellow cells and lists: change them to suit your business. Grey lists are fixed: the formulas depend on these words, so do not rename them.</t>
        </is>
      </c>
    </row>
    <row r="3">
      <c r="D3" s="53" t="inlineStr">
        <is>
          <t>Stages  (fixed)</t>
        </is>
      </c>
      <c r="F3" s="53" t="inlineStr">
        <is>
          <t>Enquiry sources</t>
        </is>
      </c>
      <c r="H3" s="53" t="inlineStr">
        <is>
          <t>Types  (fixed)</t>
        </is>
      </c>
      <c r="J3" s="53" t="inlineStr">
        <is>
          <t>Categories</t>
        </is>
      </c>
      <c r="M3" s="53" t="inlineStr">
        <is>
          <t>Payment methods</t>
        </is>
      </c>
      <c r="O3" s="53" t="inlineStr">
        <is>
          <t>Team members</t>
        </is>
      </c>
      <c r="T3" s="53" t="inlineStr">
        <is>
          <t>Job status  (fixed)</t>
        </is>
      </c>
      <c r="V3" s="53" t="inlineStr">
        <is>
          <t>Movement types  (fixed)</t>
        </is>
      </c>
      <c r="X3" s="53" t="inlineStr">
        <is>
          <t>Item categories</t>
        </is>
      </c>
      <c r="Z3" s="53" t="inlineStr">
        <is>
          <t>Units</t>
        </is>
      </c>
      <c r="AB3" s="53" t="inlineStr">
        <is>
          <t>Approved  (fixed)</t>
        </is>
      </c>
      <c r="AD3" s="53" t="inlineStr">
        <is>
          <t>Absence types  (fixed)</t>
        </is>
      </c>
      <c r="AF3" s="53" t="inlineStr">
        <is>
          <t>Easter Sunday  (fixed)</t>
        </is>
      </c>
      <c r="AI3" s="53" t="inlineStr">
        <is>
          <t>Public holidays (Portugal)</t>
        </is>
      </c>
    </row>
    <row r="4">
      <c r="A4" s="21" t="inlineStr">
        <is>
          <t>General</t>
        </is>
      </c>
      <c r="B4" s="21" t="inlineStr">
        <is>
          <t>Value</t>
        </is>
      </c>
      <c r="D4" s="21" t="inlineStr">
        <is>
          <t>Stage</t>
        </is>
      </c>
      <c r="F4" s="21" t="inlineStr">
        <is>
          <t>Source</t>
        </is>
      </c>
      <c r="H4" s="21" t="inlineStr">
        <is>
          <t>Type</t>
        </is>
      </c>
      <c r="J4" s="21" t="inlineStr">
        <is>
          <t>Category</t>
        </is>
      </c>
      <c r="K4" s="21" t="inlineStr">
        <is>
          <t>Type</t>
        </is>
      </c>
      <c r="M4" s="21" t="inlineStr">
        <is>
          <t>Method</t>
        </is>
      </c>
      <c r="O4" s="21" t="inlineStr">
        <is>
          <t>Name</t>
        </is>
      </c>
      <c r="P4" s="21" t="inlineStr">
        <is>
          <t>Role</t>
        </is>
      </c>
      <c r="Q4" s="21" t="inlineStr">
        <is>
          <t>Contracted hours per week</t>
        </is>
      </c>
      <c r="R4" s="21" t="inlineStr">
        <is>
          <t>Holiday days per year</t>
        </is>
      </c>
      <c r="T4" s="21" t="inlineStr">
        <is>
          <t>Status</t>
        </is>
      </c>
      <c r="V4" s="21" t="inlineStr">
        <is>
          <t>Type</t>
        </is>
      </c>
      <c r="X4" s="21" t="inlineStr">
        <is>
          <t>Category</t>
        </is>
      </c>
      <c r="Z4" s="21" t="inlineStr">
        <is>
          <t>Unit</t>
        </is>
      </c>
      <c r="AB4" s="21" t="inlineStr">
        <is>
          <t>Value</t>
        </is>
      </c>
      <c r="AD4" s="21" t="inlineStr">
        <is>
          <t>Type</t>
        </is>
      </c>
      <c r="AF4" s="21" t="inlineStr">
        <is>
          <t>Year</t>
        </is>
      </c>
      <c r="AG4" s="21" t="inlineStr">
        <is>
          <t>Date</t>
        </is>
      </c>
      <c r="AI4" s="21" t="inlineStr">
        <is>
          <t>Holiday</t>
        </is>
      </c>
      <c r="AJ4" s="21" t="inlineStr">
        <is>
          <t>Date</t>
        </is>
      </c>
    </row>
    <row r="5">
      <c r="A5" s="22" t="inlineStr">
        <is>
          <t>Business name</t>
        </is>
      </c>
      <c r="B5" s="54" t="inlineStr">
        <is>
          <t>Your business</t>
        </is>
      </c>
      <c r="D5" s="55" t="inlineStr">
        <is>
          <t>New</t>
        </is>
      </c>
      <c r="F5" s="56" t="inlineStr">
        <is>
          <t>Website</t>
        </is>
      </c>
      <c r="H5" s="55" t="inlineStr">
        <is>
          <t>Income</t>
        </is>
      </c>
      <c r="J5" s="56" t="inlineStr">
        <is>
          <t>Sales</t>
        </is>
      </c>
      <c r="K5" s="56" t="inlineStr">
        <is>
          <t>Income</t>
        </is>
      </c>
      <c r="M5" s="56" t="inlineStr">
        <is>
          <t>Bank transfer</t>
        </is>
      </c>
      <c r="O5" s="56" t="inlineStr">
        <is>
          <t>Ana Silva</t>
        </is>
      </c>
      <c r="P5" s="56" t="inlineStr">
        <is>
          <t>Manager</t>
        </is>
      </c>
      <c r="Q5" s="56" t="n">
        <v>40</v>
      </c>
      <c r="R5" s="56" t="n">
        <v>22</v>
      </c>
      <c r="T5" s="55" t="inlineStr">
        <is>
          <t>Planned</t>
        </is>
      </c>
      <c r="V5" s="55" t="inlineStr">
        <is>
          <t>Received</t>
        </is>
      </c>
      <c r="X5" s="56" t="inlineStr">
        <is>
          <t>Raw materials</t>
        </is>
      </c>
      <c r="Z5" s="56" t="inlineStr">
        <is>
          <t>pcs</t>
        </is>
      </c>
      <c r="AB5" s="55" t="inlineStr">
        <is>
          <t>Yes</t>
        </is>
      </c>
      <c r="AD5" s="55" t="inlineStr">
        <is>
          <t>Holiday</t>
        </is>
      </c>
      <c r="AF5" s="57" t="n">
        <v>2025</v>
      </c>
      <c r="AG5" s="58" t="n">
        <v>45767</v>
      </c>
      <c r="AI5" s="56" t="inlineStr">
        <is>
          <t>New Year's Day</t>
        </is>
      </c>
      <c r="AJ5" s="59">
        <f>DATE(SelYear,1,1)</f>
        <v/>
      </c>
    </row>
    <row r="6">
      <c r="A6" s="22" t="inlineStr">
        <is>
          <t>Year shown in summaries</t>
        </is>
      </c>
      <c r="B6" s="60" t="n">
        <v>2027</v>
      </c>
      <c r="D6" s="55" t="inlineStr">
        <is>
          <t>Contacted</t>
        </is>
      </c>
      <c r="F6" s="56" t="inlineStr">
        <is>
          <t>Referral</t>
        </is>
      </c>
      <c r="H6" s="55" t="inlineStr">
        <is>
          <t>Expense</t>
        </is>
      </c>
      <c r="J6" s="56" t="inlineStr">
        <is>
          <t>Services</t>
        </is>
      </c>
      <c r="K6" s="56" t="inlineStr">
        <is>
          <t>Income</t>
        </is>
      </c>
      <c r="M6" s="56" t="inlineStr">
        <is>
          <t>Card</t>
        </is>
      </c>
      <c r="O6" s="56" t="inlineStr">
        <is>
          <t>Bruno Costa</t>
        </is>
      </c>
      <c r="P6" s="56" t="inlineStr">
        <is>
          <t>Technician</t>
        </is>
      </c>
      <c r="Q6" s="56" t="n">
        <v>40</v>
      </c>
      <c r="R6" s="56" t="n">
        <v>22</v>
      </c>
      <c r="T6" s="55" t="inlineStr">
        <is>
          <t>In progress</t>
        </is>
      </c>
      <c r="V6" s="55" t="inlineStr">
        <is>
          <t>Issued</t>
        </is>
      </c>
      <c r="X6" s="56" t="inlineStr">
        <is>
          <t>Finished goods</t>
        </is>
      </c>
      <c r="Z6" s="56" t="inlineStr">
        <is>
          <t>kg</t>
        </is>
      </c>
      <c r="AB6" s="55" t="inlineStr">
        <is>
          <t>No</t>
        </is>
      </c>
      <c r="AD6" s="55" t="inlineStr">
        <is>
          <t>Sick leave</t>
        </is>
      </c>
      <c r="AF6" s="57" t="n">
        <v>2026</v>
      </c>
      <c r="AG6" s="58" t="n">
        <v>46117</v>
      </c>
      <c r="AI6" s="56" t="inlineStr">
        <is>
          <t>Good Friday</t>
        </is>
      </c>
      <c r="AJ6" s="59">
        <f>EasterSunday-2</f>
        <v/>
      </c>
    </row>
    <row r="7">
      <c r="A7" s="22" t="inlineStr">
        <is>
          <t>Cash on 1 January (bank + cash)</t>
        </is>
      </c>
      <c r="B7" s="61" t="n">
        <v>5000</v>
      </c>
      <c r="D7" s="55" t="inlineStr">
        <is>
          <t>Quoted</t>
        </is>
      </c>
      <c r="F7" s="56" t="inlineStr">
        <is>
          <t>Instagram</t>
        </is>
      </c>
      <c r="J7" s="56" t="inlineStr">
        <is>
          <t>Other income</t>
        </is>
      </c>
      <c r="K7" s="56" t="inlineStr">
        <is>
          <t>Income</t>
        </is>
      </c>
      <c r="M7" s="56" t="inlineStr">
        <is>
          <t>Cash</t>
        </is>
      </c>
      <c r="O7" s="56" t="inlineStr">
        <is>
          <t>Carla Dias</t>
        </is>
      </c>
      <c r="P7" s="56" t="inlineStr">
        <is>
          <t>Sales</t>
        </is>
      </c>
      <c r="Q7" s="56" t="n">
        <v>30</v>
      </c>
      <c r="R7" s="56" t="n">
        <v>22</v>
      </c>
      <c r="T7" s="55" t="inlineStr">
        <is>
          <t>On hold</t>
        </is>
      </c>
      <c r="V7" s="55" t="inlineStr">
        <is>
          <t>Adjustment</t>
        </is>
      </c>
      <c r="X7" s="56" t="inlineStr">
        <is>
          <t>Packaging</t>
        </is>
      </c>
      <c r="Z7" s="56" t="inlineStr">
        <is>
          <t>L</t>
        </is>
      </c>
      <c r="AD7" s="55" t="inlineStr">
        <is>
          <t>Other</t>
        </is>
      </c>
      <c r="AF7" s="57" t="n">
        <v>2027</v>
      </c>
      <c r="AG7" s="58" t="n">
        <v>46474</v>
      </c>
      <c r="AI7" s="56" t="inlineStr">
        <is>
          <t>Easter Sunday</t>
        </is>
      </c>
      <c r="AJ7" s="59">
        <f>EasterSunday</f>
        <v/>
      </c>
    </row>
    <row r="8">
      <c r="A8" s="22" t="inlineStr">
        <is>
          <t>Labour cost per hour €</t>
        </is>
      </c>
      <c r="B8" s="61" t="n">
        <v>18</v>
      </c>
      <c r="D8" s="55" t="inlineStr">
        <is>
          <t>Won</t>
        </is>
      </c>
      <c r="F8" s="56" t="inlineStr">
        <is>
          <t>Facebook</t>
        </is>
      </c>
      <c r="J8" s="56" t="inlineStr">
        <is>
          <t>Rent</t>
        </is>
      </c>
      <c r="K8" s="56" t="inlineStr">
        <is>
          <t>Expense</t>
        </is>
      </c>
      <c r="M8" s="56" t="inlineStr">
        <is>
          <t>MB WAY</t>
        </is>
      </c>
      <c r="O8" s="56" t="inlineStr">
        <is>
          <t>Diogo Reis</t>
        </is>
      </c>
      <c r="P8" s="56" t="inlineStr">
        <is>
          <t>Assistant</t>
        </is>
      </c>
      <c r="Q8" s="56" t="n">
        <v>20</v>
      </c>
      <c r="R8" s="56" t="n">
        <v>22</v>
      </c>
      <c r="T8" s="55" t="inlineStr">
        <is>
          <t>Complete</t>
        </is>
      </c>
      <c r="X8" s="56" t="inlineStr">
        <is>
          <t>Consumables</t>
        </is>
      </c>
      <c r="Z8" s="56" t="inlineStr">
        <is>
          <t>m</t>
        </is>
      </c>
      <c r="AF8" s="57" t="n">
        <v>2028</v>
      </c>
      <c r="AG8" s="58" t="n">
        <v>46859</v>
      </c>
      <c r="AI8" s="56" t="inlineStr">
        <is>
          <t>Freedom Day</t>
        </is>
      </c>
      <c r="AJ8" s="59">
        <f>DATE(SelYear,4,25)</f>
        <v/>
      </c>
    </row>
    <row r="9">
      <c r="A9" s="22" t="inlineStr">
        <is>
          <t>Easter Sunday in that year</t>
        </is>
      </c>
      <c r="B9" s="62">
        <f>IFERROR(INDEX(EasterDates,MATCH(SelYear,EasterYears,0)),DATE(SelYear,4,1))</f>
        <v/>
      </c>
      <c r="D9" s="55" t="inlineStr">
        <is>
          <t>Lost</t>
        </is>
      </c>
      <c r="F9" s="56" t="inlineStr">
        <is>
          <t>Google</t>
        </is>
      </c>
      <c r="J9" s="56" t="inlineStr">
        <is>
          <t>Salaries</t>
        </is>
      </c>
      <c r="K9" s="56" t="inlineStr">
        <is>
          <t>Expense</t>
        </is>
      </c>
      <c r="M9" s="56" t="inlineStr">
        <is>
          <t>Direct debit</t>
        </is>
      </c>
      <c r="O9" s="63" t="n"/>
      <c r="P9" s="63" t="n"/>
      <c r="Q9" s="63" t="n"/>
      <c r="R9" s="63" t="n"/>
      <c r="T9" s="55" t="inlineStr">
        <is>
          <t>Cancelled</t>
        </is>
      </c>
      <c r="X9" s="56" t="inlineStr">
        <is>
          <t>Spare parts</t>
        </is>
      </c>
      <c r="Z9" s="56" t="inlineStr">
        <is>
          <t>box</t>
        </is>
      </c>
      <c r="AF9" s="57" t="n">
        <v>2029</v>
      </c>
      <c r="AG9" s="58" t="n">
        <v>47209</v>
      </c>
      <c r="AI9" s="56" t="inlineStr">
        <is>
          <t>Labour Day</t>
        </is>
      </c>
      <c r="AJ9" s="59">
        <f>DATE(SelYear,5,1)</f>
        <v/>
      </c>
    </row>
    <row r="10">
      <c r="F10" s="56" t="inlineStr">
        <is>
          <t>Phone</t>
        </is>
      </c>
      <c r="J10" s="56" t="inlineStr">
        <is>
          <t>Social security</t>
        </is>
      </c>
      <c r="K10" s="56" t="inlineStr">
        <is>
          <t>Expense</t>
        </is>
      </c>
      <c r="M10" s="56" t="inlineStr">
        <is>
          <t>Multibanco reference</t>
        </is>
      </c>
      <c r="O10" s="63" t="n"/>
      <c r="P10" s="63" t="n"/>
      <c r="Q10" s="63" t="n"/>
      <c r="R10" s="63" t="n"/>
      <c r="X10" s="63" t="n"/>
      <c r="Z10" s="56" t="inlineStr">
        <is>
          <t>pack</t>
        </is>
      </c>
      <c r="AF10" s="57" t="n">
        <v>2030</v>
      </c>
      <c r="AG10" s="58" t="n">
        <v>47594</v>
      </c>
      <c r="AI10" s="56" t="inlineStr">
        <is>
          <t>Corpus Christi</t>
        </is>
      </c>
      <c r="AJ10" s="59">
        <f>EasterSunday+60</f>
        <v/>
      </c>
    </row>
    <row r="11">
      <c r="F11" s="56" t="inlineStr">
        <is>
          <t>Walk-in</t>
        </is>
      </c>
      <c r="J11" s="56" t="inlineStr">
        <is>
          <t>Suppliers and materials</t>
        </is>
      </c>
      <c r="K11" s="56" t="inlineStr">
        <is>
          <t>Expense</t>
        </is>
      </c>
      <c r="M11" s="63" t="n"/>
      <c r="O11" s="63" t="n"/>
      <c r="P11" s="63" t="n"/>
      <c r="Q11" s="63" t="n"/>
      <c r="R11" s="63" t="n"/>
      <c r="X11" s="63" t="n"/>
      <c r="Z11" s="63" t="n"/>
      <c r="AF11" s="57" t="n">
        <v>2031</v>
      </c>
      <c r="AG11" s="58" t="n">
        <v>47951</v>
      </c>
      <c r="AI11" s="56" t="inlineStr">
        <is>
          <t>Portugal Day</t>
        </is>
      </c>
      <c r="AJ11" s="59">
        <f>DATE(SelYear,6,10)</f>
        <v/>
      </c>
    </row>
    <row r="12">
      <c r="F12" s="56" t="inlineStr">
        <is>
          <t>Other</t>
        </is>
      </c>
      <c r="J12" s="56" t="inlineStr">
        <is>
          <t>Utilities</t>
        </is>
      </c>
      <c r="K12" s="56" t="inlineStr">
        <is>
          <t>Expense</t>
        </is>
      </c>
      <c r="M12" s="63" t="n"/>
      <c r="O12" s="63" t="n"/>
      <c r="P12" s="63" t="n"/>
      <c r="Q12" s="63" t="n"/>
      <c r="R12" s="63" t="n"/>
      <c r="X12" s="63" t="n"/>
      <c r="Z12" s="63" t="n"/>
      <c r="AF12" s="57" t="n">
        <v>2032</v>
      </c>
      <c r="AG12" s="58" t="n">
        <v>48301</v>
      </c>
      <c r="AI12" s="56" t="inlineStr">
        <is>
          <t>Assumption</t>
        </is>
      </c>
      <c r="AJ12" s="59">
        <f>DATE(SelYear,8,15)</f>
        <v/>
      </c>
    </row>
    <row r="13">
      <c r="F13" s="63" t="n"/>
      <c r="J13" s="56" t="inlineStr">
        <is>
          <t>Phone and internet</t>
        </is>
      </c>
      <c r="K13" s="56" t="inlineStr">
        <is>
          <t>Expense</t>
        </is>
      </c>
      <c r="M13" s="63" t="n"/>
      <c r="O13" s="63" t="n"/>
      <c r="P13" s="63" t="n"/>
      <c r="Q13" s="63" t="n"/>
      <c r="R13" s="63" t="n"/>
      <c r="X13" s="63" t="n"/>
      <c r="Z13" s="63" t="n"/>
      <c r="AF13" s="57" t="n">
        <v>2033</v>
      </c>
      <c r="AG13" s="58" t="n">
        <v>48686</v>
      </c>
      <c r="AI13" s="56" t="inlineStr">
        <is>
          <t>Republic Day</t>
        </is>
      </c>
      <c r="AJ13" s="59">
        <f>DATE(SelYear,10,5)</f>
        <v/>
      </c>
    </row>
    <row r="14">
      <c r="F14" s="63" t="n"/>
      <c r="J14" s="56" t="inlineStr">
        <is>
          <t>Software and subscriptions</t>
        </is>
      </c>
      <c r="K14" s="56" t="inlineStr">
        <is>
          <t>Expense</t>
        </is>
      </c>
      <c r="M14" s="63" t="n"/>
      <c r="O14" s="63" t="n"/>
      <c r="P14" s="63" t="n"/>
      <c r="Q14" s="63" t="n"/>
      <c r="R14" s="63" t="n"/>
      <c r="X14" s="63" t="n"/>
      <c r="Z14" s="63" t="n"/>
      <c r="AF14" s="57" t="n">
        <v>2034</v>
      </c>
      <c r="AG14" s="58" t="n">
        <v>49043</v>
      </c>
      <c r="AI14" s="56" t="inlineStr">
        <is>
          <t>All Saints' Day</t>
        </is>
      </c>
      <c r="AJ14" s="59">
        <f>DATE(SelYear,11,1)</f>
        <v/>
      </c>
    </row>
    <row r="15">
      <c r="F15" s="63" t="n"/>
      <c r="J15" s="56" t="inlineStr">
        <is>
          <t>Marketing</t>
        </is>
      </c>
      <c r="K15" s="56" t="inlineStr">
        <is>
          <t>Expense</t>
        </is>
      </c>
      <c r="M15" s="63" t="n"/>
      <c r="O15" s="63" t="n"/>
      <c r="P15" s="63" t="n"/>
      <c r="Q15" s="63" t="n"/>
      <c r="R15" s="63" t="n"/>
      <c r="X15" s="63" t="n"/>
      <c r="Z15" s="63" t="n"/>
      <c r="AF15" s="57" t="n">
        <v>2035</v>
      </c>
      <c r="AG15" s="58" t="n">
        <v>49393</v>
      </c>
      <c r="AI15" s="56" t="inlineStr">
        <is>
          <t>Restoration of Independence</t>
        </is>
      </c>
      <c r="AJ15" s="59">
        <f>DATE(SelYear,12,1)</f>
        <v/>
      </c>
    </row>
    <row r="16">
      <c r="F16" s="63" t="n"/>
      <c r="J16" s="56" t="inlineStr">
        <is>
          <t>Fuel and travel</t>
        </is>
      </c>
      <c r="K16" s="56" t="inlineStr">
        <is>
          <t>Expense</t>
        </is>
      </c>
      <c r="M16" s="63" t="n"/>
      <c r="O16" s="63" t="n"/>
      <c r="P16" s="63" t="n"/>
      <c r="Q16" s="63" t="n"/>
      <c r="R16" s="63" t="n"/>
      <c r="X16" s="63" t="n"/>
      <c r="Z16" s="63" t="n"/>
      <c r="AF16" s="57" t="n">
        <v>2036</v>
      </c>
      <c r="AG16" s="58" t="n">
        <v>49778</v>
      </c>
      <c r="AI16" s="56" t="inlineStr">
        <is>
          <t>Immaculate Conception</t>
        </is>
      </c>
      <c r="AJ16" s="59">
        <f>DATE(SelYear,12,8)</f>
        <v/>
      </c>
    </row>
    <row r="17">
      <c r="F17" s="63" t="n"/>
      <c r="J17" s="56" t="inlineStr">
        <is>
          <t>Accountant and legal</t>
        </is>
      </c>
      <c r="K17" s="56" t="inlineStr">
        <is>
          <t>Expense</t>
        </is>
      </c>
      <c r="M17" s="63" t="n"/>
      <c r="O17" s="63" t="n"/>
      <c r="P17" s="63" t="n"/>
      <c r="Q17" s="63" t="n"/>
      <c r="R17" s="63" t="n"/>
      <c r="X17" s="63" t="n"/>
      <c r="Z17" s="63" t="n"/>
      <c r="AF17" s="57" t="n">
        <v>2037</v>
      </c>
      <c r="AG17" s="58" t="n">
        <v>50135</v>
      </c>
      <c r="AI17" s="56" t="inlineStr">
        <is>
          <t>Christmas Day</t>
        </is>
      </c>
      <c r="AJ17" s="59">
        <f>DATE(SelYear,12,25)</f>
        <v/>
      </c>
    </row>
    <row r="18">
      <c r="F18" s="63" t="n"/>
      <c r="J18" s="56" t="inlineStr">
        <is>
          <t>Insurance</t>
        </is>
      </c>
      <c r="K18" s="56" t="inlineStr">
        <is>
          <t>Expense</t>
        </is>
      </c>
      <c r="M18" s="63" t="n"/>
      <c r="O18" s="63" t="n"/>
      <c r="P18" s="63" t="n"/>
      <c r="Q18" s="63" t="n"/>
      <c r="R18" s="63" t="n"/>
      <c r="X18" s="63" t="n"/>
      <c r="Z18" s="63" t="n"/>
      <c r="AF18" s="57" t="n">
        <v>2038</v>
      </c>
      <c r="AG18" s="58" t="n">
        <v>50520</v>
      </c>
      <c r="AI18" s="56" t="inlineStr">
        <is>
          <t>Municipal holiday (enter date)</t>
        </is>
      </c>
      <c r="AJ18" s="64" t="n"/>
    </row>
    <row r="19">
      <c r="F19" s="63" t="n"/>
      <c r="J19" s="56" t="inlineStr">
        <is>
          <t>Bank fees</t>
        </is>
      </c>
      <c r="K19" s="56" t="inlineStr">
        <is>
          <t>Expense</t>
        </is>
      </c>
      <c r="M19" s="63" t="n"/>
      <c r="O19" s="63" t="n"/>
      <c r="P19" s="63" t="n"/>
      <c r="Q19" s="63" t="n"/>
      <c r="R19" s="63" t="n"/>
      <c r="X19" s="63" t="n"/>
      <c r="Z19" s="63" t="n"/>
      <c r="AF19" s="57" t="n">
        <v>2039</v>
      </c>
      <c r="AG19" s="58" t="n">
        <v>50870</v>
      </c>
      <c r="AI19" s="56" t="inlineStr">
        <is>
          <t>Carnival or other closure (optional)</t>
        </is>
      </c>
      <c r="AJ19" s="64" t="n"/>
    </row>
    <row r="20">
      <c r="F20" s="63" t="n"/>
      <c r="J20" s="56" t="inlineStr">
        <is>
          <t>Taxes and VAT paid</t>
        </is>
      </c>
      <c r="K20" s="56" t="inlineStr">
        <is>
          <t>Expense</t>
        </is>
      </c>
      <c r="M20" s="63" t="n"/>
      <c r="O20" s="63" t="n"/>
      <c r="P20" s="63" t="n"/>
      <c r="Q20" s="63" t="n"/>
      <c r="R20" s="63" t="n"/>
      <c r="X20" s="63" t="n"/>
      <c r="Z20" s="63" t="n"/>
      <c r="AF20" s="57" t="n">
        <v>2040</v>
      </c>
      <c r="AG20" s="58" t="n">
        <v>51227</v>
      </c>
    </row>
    <row r="21">
      <c r="F21" s="63" t="n"/>
      <c r="J21" s="56" t="inlineStr">
        <is>
          <t>Equipment</t>
        </is>
      </c>
      <c r="K21" s="56" t="inlineStr">
        <is>
          <t>Expense</t>
        </is>
      </c>
      <c r="M21" s="63" t="n"/>
      <c r="O21" s="63" t="n"/>
      <c r="P21" s="63" t="n"/>
      <c r="Q21" s="63" t="n"/>
      <c r="R21" s="63" t="n"/>
      <c r="X21" s="63" t="n"/>
      <c r="Z21" s="63" t="n"/>
    </row>
    <row r="22">
      <c r="F22" s="63" t="n"/>
      <c r="J22" s="56" t="inlineStr">
        <is>
          <t>Other expenses</t>
        </is>
      </c>
      <c r="K22" s="56" t="inlineStr">
        <is>
          <t>Expense</t>
        </is>
      </c>
      <c r="M22" s="63" t="n"/>
      <c r="O22" s="63" t="n"/>
      <c r="P22" s="63" t="n"/>
      <c r="Q22" s="63" t="n"/>
      <c r="R22" s="63" t="n"/>
      <c r="X22" s="63" t="n"/>
      <c r="Z22" s="63" t="n"/>
    </row>
    <row r="23">
      <c r="F23" s="63" t="n"/>
      <c r="J23" s="63" t="n"/>
      <c r="K23" s="63" t="n"/>
      <c r="M23" s="63" t="n"/>
      <c r="O23" s="63" t="n"/>
      <c r="P23" s="63" t="n"/>
      <c r="Q23" s="63" t="n"/>
      <c r="R23" s="63" t="n"/>
      <c r="X23" s="63" t="n"/>
      <c r="Z23" s="63" t="n"/>
    </row>
    <row r="24">
      <c r="F24" s="63" t="n"/>
      <c r="J24" s="63" t="n"/>
      <c r="K24" s="63" t="n"/>
      <c r="M24" s="63" t="n"/>
      <c r="O24" s="63" t="n"/>
      <c r="P24" s="63" t="n"/>
      <c r="Q24" s="63" t="n"/>
      <c r="R24" s="63" t="n"/>
      <c r="X24" s="63" t="n"/>
      <c r="Z24" s="63" t="n"/>
    </row>
    <row r="25">
      <c r="F25" s="63" t="n"/>
      <c r="J25" s="63" t="n"/>
      <c r="K25" s="63" t="n"/>
      <c r="M25" s="63" t="n"/>
      <c r="O25" s="63" t="n"/>
      <c r="P25" s="63" t="n"/>
      <c r="Q25" s="63" t="n"/>
      <c r="R25" s="63" t="n"/>
      <c r="X25" s="63" t="n"/>
      <c r="Z25" s="63" t="n"/>
    </row>
    <row r="26">
      <c r="F26" s="63" t="n"/>
      <c r="J26" s="63" t="n"/>
      <c r="K26" s="63" t="n"/>
      <c r="M26" s="63" t="n"/>
      <c r="O26" s="63" t="n"/>
      <c r="P26" s="63" t="n"/>
      <c r="Q26" s="63" t="n"/>
      <c r="R26" s="63" t="n"/>
      <c r="X26" s="63" t="n"/>
      <c r="Z26" s="63" t="n"/>
    </row>
    <row r="27">
      <c r="F27" s="63" t="n"/>
      <c r="J27" s="63" t="n"/>
      <c r="K27" s="63" t="n"/>
      <c r="M27" s="63" t="n"/>
      <c r="O27" s="63" t="n"/>
      <c r="P27" s="63" t="n"/>
      <c r="Q27" s="63" t="n"/>
      <c r="R27" s="63" t="n"/>
      <c r="X27" s="63" t="n"/>
      <c r="Z27" s="63" t="n"/>
    </row>
    <row r="28">
      <c r="F28" s="63" t="n"/>
      <c r="J28" s="63" t="n"/>
      <c r="K28" s="63" t="n"/>
      <c r="M28" s="63" t="n"/>
      <c r="O28" s="63" t="n"/>
      <c r="P28" s="63" t="n"/>
      <c r="Q28" s="63" t="n"/>
      <c r="R28" s="63" t="n"/>
      <c r="X28" s="63" t="n"/>
      <c r="Z28" s="63" t="n"/>
    </row>
    <row r="29">
      <c r="F29" s="63" t="n"/>
      <c r="J29" s="63" t="n"/>
      <c r="K29" s="63" t="n"/>
      <c r="M29" s="63" t="n"/>
      <c r="O29" s="63" t="n"/>
      <c r="P29" s="63" t="n"/>
      <c r="Q29" s="63" t="n"/>
      <c r="R29" s="63" t="n"/>
      <c r="X29" s="63" t="n"/>
      <c r="Z29" s="63" t="n"/>
    </row>
    <row r="30">
      <c r="F30" s="63" t="n"/>
      <c r="J30" s="63" t="n"/>
      <c r="K30" s="63" t="n"/>
      <c r="M30" s="63" t="n"/>
      <c r="O30" s="63" t="n"/>
      <c r="P30" s="63" t="n"/>
      <c r="Q30" s="63" t="n"/>
      <c r="R30" s="63" t="n"/>
      <c r="X30" s="63" t="n"/>
      <c r="Z30" s="63" t="n"/>
    </row>
    <row r="31">
      <c r="F31" s="63" t="n"/>
      <c r="J31" s="63" t="n"/>
      <c r="K31" s="63" t="n"/>
      <c r="M31" s="63" t="n"/>
      <c r="O31" s="63" t="n"/>
      <c r="P31" s="63" t="n"/>
      <c r="Q31" s="63" t="n"/>
      <c r="R31" s="63" t="n"/>
      <c r="X31" s="63" t="n"/>
      <c r="Z31" s="63" t="n"/>
    </row>
    <row r="32">
      <c r="F32" s="63" t="n"/>
      <c r="J32" s="63" t="n"/>
      <c r="K32" s="63" t="n"/>
      <c r="M32" s="63" t="n"/>
      <c r="O32" s="63" t="n"/>
      <c r="P32" s="63" t="n"/>
      <c r="Q32" s="63" t="n"/>
      <c r="R32" s="63" t="n"/>
      <c r="X32" s="63" t="n"/>
      <c r="Z32" s="63" t="n"/>
    </row>
    <row r="33">
      <c r="F33" s="63" t="n"/>
      <c r="J33" s="63" t="n"/>
      <c r="K33" s="63" t="n"/>
      <c r="M33" s="63" t="n"/>
      <c r="O33" s="63" t="n"/>
      <c r="P33" s="63" t="n"/>
      <c r="Q33" s="63" t="n"/>
      <c r="R33" s="63" t="n"/>
      <c r="X33" s="63" t="n"/>
      <c r="Z33" s="63" t="n"/>
    </row>
    <row r="34">
      <c r="F34" s="63" t="n"/>
      <c r="J34" s="63" t="n"/>
      <c r="K34" s="63" t="n"/>
      <c r="M34" s="63" t="n"/>
      <c r="O34" s="63" t="n"/>
      <c r="P34" s="63" t="n"/>
      <c r="Q34" s="63" t="n"/>
      <c r="R34" s="63" t="n"/>
      <c r="X34" s="63" t="n"/>
      <c r="Z34" s="6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K5:K34" showDropDown="0" showInputMessage="0" showErrorMessage="0" allowBlank="1" type="list">
      <formula1>=TypeList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RotaVoo</dc:creator>
  <dc:title>Business Bundle (preview)</dc:title>
  <dcterms:created xsi:type="dcterms:W3CDTF">2026-11-01T16:14:33Z</dcterms:created>
  <dcterms:modified xsi:type="dcterms:W3CDTF">2026-11-01T16:14:33Z</dcterms:modified>
</cp:coreProperties>
</file>