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Sales dashboard" sheetId="2" state="visible" r:id="rId2"/>
    <sheet name="Pipeline" sheetId="3" state="visible" r:id="rId3"/>
    <sheet name="Sales by month" sheetId="4" state="visible" r:id="rId4"/>
    <sheet name="Settings" sheetId="5" state="visible" r:id="rId5"/>
  </sheets>
  <definedNames>
    <definedName name="BizName">'Settings'!$B$5</definedName>
    <definedName name="SelYear">'Settings'!$B$6</definedName>
    <definedName name="StageList">'Settings'!$D$5:$D$9</definedName>
    <definedName name="SourceList">'Settings'!$F$5:$F$34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 &quot;€&quot;;-#,##0.00 &quot;€&quot;;&quot;–&quot;"/>
    <numFmt numFmtId="167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17191C"/>
      <sz val="16"/>
    </font>
    <font>
      <name val="Arial"/>
      <color rgb="0062666B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17191C"/>
      <sz val="10"/>
    </font>
    <font>
      <name val="Arial"/>
      <color rgb="0062666B"/>
      <sz val="8"/>
    </font>
    <font>
      <name val="Arial"/>
      <i val="1"/>
      <color rgb="0062666B"/>
      <sz val="10"/>
    </font>
    <font>
      <name val="Arial"/>
      <b val="1"/>
      <color rgb="0017191C"/>
      <sz val="12"/>
    </font>
    <font>
      <name val="Arial"/>
      <color rgb="0062666B"/>
      <sz val="9"/>
    </font>
    <font>
      <name val="Arial"/>
      <b val="1"/>
      <color rgb="0017191C"/>
      <sz val="18"/>
    </font>
    <font>
      <name val="Arial"/>
      <b val="1"/>
      <color rgb="0017191C"/>
      <sz val="20"/>
    </font>
    <font>
      <name val="Arial"/>
      <b val="1"/>
      <color rgb="00009C45"/>
      <sz val="12"/>
    </font>
  </fonts>
  <fills count="9">
    <fill>
      <patternFill/>
    </fill>
    <fill>
      <patternFill patternType="gray125"/>
    </fill>
    <fill>
      <patternFill patternType="solid">
        <fgColor rgb="0017191C"/>
        <bgColor rgb="0017191C"/>
      </patternFill>
    </fill>
    <fill>
      <patternFill patternType="solid">
        <fgColor rgb="00FFF4D6"/>
        <bgColor rgb="00FFF4D6"/>
      </patternFill>
    </fill>
    <fill>
      <patternFill patternType="solid">
        <fgColor rgb="00E3E6E8"/>
        <bgColor rgb="00E3E6E8"/>
      </patternFill>
    </fill>
    <fill>
      <patternFill patternType="solid">
        <fgColor rgb="00FFFFFF"/>
        <bgColor rgb="00FFFFFF"/>
      </patternFill>
    </fill>
    <fill>
      <patternFill patternType="solid">
        <fgColor rgb="00EAF6EF"/>
        <bgColor rgb="00EAF6EF"/>
      </patternFill>
    </fill>
    <fill>
      <patternFill patternType="solid">
        <fgColor rgb="00F5F6F7"/>
        <bgColor rgb="00F5F6F7"/>
      </patternFill>
    </fill>
    <fill>
      <patternFill patternType="solid">
        <fgColor rgb="00009C45"/>
        <bgColor rgb="00009C45"/>
      </patternFill>
    </fill>
  </fills>
  <borders count="3">
    <border>
      <left/>
      <right/>
      <top/>
      <bottom/>
      <diagonal/>
    </border>
    <border>
      <bottom style="thin">
        <color rgb="00D6DEDB"/>
      </bottom>
    </border>
    <border>
      <left style="thin">
        <color rgb="00D6DEDB"/>
      </left>
      <right style="thin">
        <color rgb="00D6DEDB"/>
      </right>
      <top style="thin">
        <color rgb="00D6DEDB"/>
      </top>
      <bottom style="thin">
        <color rgb="00D6DEDB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12" fillId="0" borderId="0" pivotButton="0" quotePrefix="0" xfId="0"/>
    <xf numFmtId="0" fontId="2" fillId="0" borderId="0" pivotButton="0" quotePrefix="0" xfId="0"/>
    <xf numFmtId="0" fontId="3" fillId="8" borderId="0" pivotButton="0" quotePrefix="0" xfId="0"/>
    <xf numFmtId="0" fontId="6" fillId="6" borderId="0" applyAlignment="1" pivotButton="0" quotePrefix="0" xfId="0">
      <alignment vertical="top" wrapText="1"/>
    </xf>
    <xf numFmtId="0" fontId="13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5" fillId="6" borderId="2" applyAlignment="1" pivotButton="0" quotePrefix="0" xfId="0">
      <alignment vertical="top" wrapText="1"/>
    </xf>
    <xf numFmtId="0" fontId="5" fillId="3" borderId="2" applyAlignment="1" pivotButton="0" quotePrefix="0" xfId="0">
      <alignment vertical="top" wrapText="1"/>
    </xf>
    <xf numFmtId="0" fontId="5" fillId="4" borderId="2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7" borderId="0" pivotButton="0" quotePrefix="0" xfId="0"/>
    <xf numFmtId="166" fontId="11" fillId="7" borderId="0" applyAlignment="1" pivotButton="0" quotePrefix="0" xfId="0">
      <alignment horizontal="left"/>
    </xf>
    <xf numFmtId="1" fontId="11" fillId="7" borderId="0" applyAlignment="1" pivotButton="0" quotePrefix="0" xfId="0">
      <alignment horizontal="left"/>
    </xf>
    <xf numFmtId="167" fontId="11" fillId="7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4" fillId="0" borderId="1" pivotButton="0" quotePrefix="0" xfId="0"/>
    <xf numFmtId="1" fontId="4" fillId="0" borderId="1" pivotButton="0" quotePrefix="0" xfId="0"/>
    <xf numFmtId="166" fontId="4" fillId="0" borderId="1" pivotButton="0" quotePrefix="0" xfId="0"/>
    <xf numFmtId="165" fontId="4" fillId="0" borderId="0" pivotButton="0" quotePrefix="0" xfId="0"/>
    <xf numFmtId="0" fontId="4" fillId="0" borderId="0" pivotButton="0" quotePrefix="0" xfId="0"/>
    <xf numFmtId="166" fontId="4" fillId="0" borderId="0" pivotButton="0" quotePrefix="0" xfId="0"/>
    <xf numFmtId="1" fontId="4" fillId="6" borderId="0" pivotButton="0" quotePrefix="0" xfId="0"/>
    <xf numFmtId="0" fontId="4" fillId="6" borderId="0" pivotButton="0" quotePrefix="0" xfId="0"/>
    <xf numFmtId="165" fontId="7" fillId="0" borderId="0" pivotButton="0" quotePrefix="0" xfId="0"/>
    <xf numFmtId="0" fontId="5" fillId="0" borderId="0" pivotButton="0" quotePrefix="0" xfId="0"/>
    <xf numFmtId="1" fontId="4" fillId="6" borderId="1" pivotButton="0" quotePrefix="0" xfId="0"/>
    <xf numFmtId="166" fontId="4" fillId="6" borderId="1" pivotButton="0" quotePrefix="0" xfId="0"/>
    <xf numFmtId="167" fontId="4" fillId="6" borderId="1" pivotButton="0" quotePrefix="0" xfId="0"/>
    <xf numFmtId="1" fontId="5" fillId="6" borderId="1" pivotButton="0" quotePrefix="0" xfId="0"/>
    <xf numFmtId="166" fontId="5" fillId="6" borderId="1" pivotButton="0" quotePrefix="0" xfId="0"/>
    <xf numFmtId="167" fontId="5" fillId="6" borderId="1" pivotButton="0" quotePrefix="0" xfId="0"/>
    <xf numFmtId="0" fontId="6" fillId="0" borderId="0" pivotButton="0" quotePrefix="0" xfId="0"/>
    <xf numFmtId="0" fontId="5" fillId="3" borderId="2" pivotButton="0" quotePrefix="0" xfId="0"/>
    <xf numFmtId="0" fontId="4" fillId="4" borderId="2" pivotButton="0" quotePrefix="0" xfId="0"/>
    <xf numFmtId="0" fontId="4" fillId="3" borderId="2" pivotButton="0" quotePrefix="0" xfId="0"/>
    <xf numFmtId="1" fontId="5" fillId="3" borderId="2" pivotButton="0" quotePrefix="0" xfId="0"/>
    <xf numFmtId="0" fontId="4" fillId="5" borderId="2" pivotButton="0" quotePrefix="0" xfId="0"/>
  </cellXfs>
  <cellStyles count="1">
    <cellStyle name="Normal" xfId="0" builtinId="0" hidden="0"/>
  </cellStyles>
  <dxfs count="4">
    <dxf>
      <font>
        <b val="1"/>
        <color rgb="00B23A32"/>
      </font>
      <fill>
        <patternFill patternType="solid">
          <fgColor rgb="00F8DEDB"/>
          <bgColor rgb="00F8DEDB"/>
        </patternFill>
      </fill>
    </dxf>
    <dxf>
      <font>
        <b val="1"/>
        <color rgb="009A6400"/>
      </font>
      <fill>
        <patternFill patternType="solid">
          <fgColor rgb="00FBEFCF"/>
          <bgColor rgb="00FBEFCF"/>
        </patternFill>
      </fill>
    </dxf>
    <dxf>
      <font>
        <b val="1"/>
        <color rgb="001F7A45"/>
      </font>
      <fill>
        <patternFill patternType="solid">
          <fgColor rgb="00DDF1E4"/>
          <bgColor rgb="00DDF1E4"/>
        </patternFill>
      </fill>
    </dxf>
    <dxf>
      <font>
        <b val="1"/>
        <color rgb="0062666B"/>
      </font>
      <fill>
        <patternFill patternType="solid">
          <fgColor rgb="00F5F6F7"/>
          <bgColor rgb="00F5F6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Value won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'Sales by month'!G4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'Sales by month'!$B$5:$B$16</f>
            </numRef>
          </cat>
          <val>
            <numRef>
              <f>'Sales by month'!$G$5:$G$16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RotaVoo</author>
  </authors>
  <commentList>
    <comment ref="B6" authorId="0" shapeId="0">
      <text>
        <t>All monthly summaries and "this year" figures use this year.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ipeline" displayName="Pipeline" ref="A1:N13" headerRowCount="1">
  <autoFilter ref="A1:N13"/>
  <tableColumns count="14">
    <tableColumn id="1" name="Date received"/>
    <tableColumn id="2" name="Customer"/>
    <tableColumn id="3" name="Contact person"/>
    <tableColumn id="4" name="Phone or email"/>
    <tableColumn id="5" name="Source"/>
    <tableColumn id="6" name="Product or service"/>
    <tableColumn id="7" name="Quote value €"/>
    <tableColumn id="8" name="Stage"/>
    <tableColumn id="9" name="Quote sent"/>
    <tableColumn id="10" name="Next follow-up"/>
    <tableColumn id="11" name="Closed date (won or lost)"/>
    <tableColumn id="12" name="Notes"/>
    <tableColumn id="13" name="Days open"/>
    <tableColumn id="14" name="Follow-up statu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00009C45"/>
    <outlinePr summaryBelow="1" summaryRight="1"/>
    <pageSetUpPr/>
  </sheetPr>
  <dimension ref="A1:C30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0" customWidth="1" min="3" max="3"/>
  </cols>
  <sheetData>
    <row r="1">
      <c r="A1" s="1" t="n"/>
      <c r="B1" s="2" t="inlineStr">
        <is>
          <t>Sales and Quotes Tracker</t>
        </is>
      </c>
    </row>
    <row r="2">
      <c r="B2" s="3" t="inlineStr">
        <is>
          <t>RotaVoo · Enquiries, quotes, follow-ups and sales by month.</t>
        </is>
      </c>
    </row>
    <row r="4" ht="30" customHeight="1">
      <c r="B4" s="4" t="inlineStr">
        <is>
          <t>PREVIEW</t>
        </is>
      </c>
      <c r="C4" s="5" t="inlineStr">
        <is>
          <t>A free preview with 12 example rows, read-only. The full tool (1,000 rows per sheet, ready for your own data) is at rotavoo.pt.</t>
        </is>
      </c>
    </row>
    <row r="6">
      <c r="B6" s="6" t="inlineStr">
        <is>
          <t>How to start</t>
        </is>
      </c>
    </row>
    <row r="7">
      <c r="B7" s="7" t="inlineStr">
        <is>
          <t>1.</t>
        </is>
      </c>
      <c r="C7" s="8" t="inlineStr">
        <is>
          <t>Open Settings. Enter your business name and the year. Replace the example lists (team, categories, sources) with your own.</t>
        </is>
      </c>
    </row>
    <row r="8">
      <c r="B8" s="7" t="inlineStr">
        <is>
          <t>2.</t>
        </is>
      </c>
      <c r="C8" s="8" t="inlineStr">
        <is>
          <t>The data sheets contain fictional example rows so you can see how everything works. Select them and press Delete to clear the white cells. Do not delete the green columns.</t>
        </is>
      </c>
    </row>
    <row r="9">
      <c r="B9" s="7" t="inlineStr">
        <is>
          <t>3.</t>
        </is>
      </c>
      <c r="C9" s="8" t="inlineStr">
        <is>
          <t>Add one row per entry. Use the dropdowns where they appear.</t>
        </is>
      </c>
    </row>
    <row r="10">
      <c r="B10" s="7" t="inlineStr">
        <is>
          <t>4.</t>
        </is>
      </c>
      <c r="C10" s="8" t="inlineStr">
        <is>
          <t>Open the dashboard whenever you want the current picture. Everything recalculates by itself.</t>
        </is>
      </c>
    </row>
    <row r="12">
      <c r="B12" s="6" t="inlineStr">
        <is>
          <t>Colour guide</t>
        </is>
      </c>
    </row>
    <row r="13">
      <c r="B13" s="9" t="inlineStr">
        <is>
          <t>White cell</t>
        </is>
      </c>
      <c r="C13" s="8" t="inlineStr">
        <is>
          <t>Type here.</t>
        </is>
      </c>
    </row>
    <row r="14">
      <c r="B14" s="10" t="inlineStr">
        <is>
          <t>Green cell</t>
        </is>
      </c>
      <c r="C14" s="8" t="inlineStr">
        <is>
          <t>Calculated automatically. Do not type over it.</t>
        </is>
      </c>
    </row>
    <row r="15">
      <c r="B15" s="11" t="inlineStr">
        <is>
          <t>Yellow cell</t>
        </is>
      </c>
      <c r="C15" s="8" t="inlineStr">
        <is>
          <t>A setting you can change.</t>
        </is>
      </c>
    </row>
    <row r="16">
      <c r="B16" s="12" t="inlineStr">
        <is>
          <t>Grey list</t>
        </is>
      </c>
      <c r="C16" s="8" t="inlineStr">
        <is>
          <t>Fixed words the formulas rely on. Do not rename.</t>
        </is>
      </c>
    </row>
    <row r="18">
      <c r="B18" s="6" t="inlineStr">
        <is>
          <t>What is in this file</t>
        </is>
      </c>
    </row>
    <row r="19">
      <c r="B19" s="7" t="inlineStr">
        <is>
          <t>Sales dashboard</t>
        </is>
      </c>
      <c r="C19" s="8" t="inlineStr">
        <is>
          <t>Open pipeline, follow-ups due, value won, win rate, results by source and stage.</t>
        </is>
      </c>
    </row>
    <row r="20">
      <c r="B20" s="7" t="inlineStr">
        <is>
          <t>Pipeline</t>
        </is>
      </c>
      <c r="C20" s="8" t="inlineStr">
        <is>
          <t>One row per enquiry. Move it through the stages and set the next follow-up date.</t>
        </is>
      </c>
    </row>
    <row r="21">
      <c r="B21" s="7" t="inlineStr">
        <is>
          <t>Sales by month</t>
        </is>
      </c>
      <c r="C21" s="8" t="inlineStr">
        <is>
          <t>Enquiries, quotes, wins, losses and win rate for each month.</t>
        </is>
      </c>
    </row>
    <row r="22">
      <c r="B22" s="7" t="inlineStr">
        <is>
          <t>Settings</t>
        </is>
      </c>
      <c r="C22" s="8" t="inlineStr">
        <is>
          <t>Business name, year, lists and rates used by every sheet.</t>
        </is>
      </c>
    </row>
    <row r="24">
      <c r="B24" s="6" t="inlineStr">
        <is>
          <t>Good to know</t>
        </is>
      </c>
    </row>
    <row r="25">
      <c r="B25" s="7" t="inlineStr">
        <is>
          <t>Capacity</t>
        </is>
      </c>
      <c r="C25" s="8" t="inlineStr">
        <is>
          <t>Each data sheet is ready for 1,000 rows. To go further, copy the last row down: the green formulas follow.</t>
        </is>
      </c>
    </row>
    <row r="26">
      <c r="B26" s="7" t="inlineStr">
        <is>
          <t>Google Sheets</t>
        </is>
      </c>
      <c r="C26" s="8" t="inlineStr">
        <is>
          <t>Upload the file to Google Drive and choose Open with Google Sheets. Formulas, dropdowns and charts carry over.</t>
        </is>
      </c>
    </row>
    <row r="27">
      <c r="B27" s="7" t="inlineStr">
        <is>
          <t>Dates</t>
        </is>
      </c>
      <c r="C27" s="8" t="inlineStr">
        <is>
          <t>Enter dates as day/month/year. Times as hh:mm.</t>
        </is>
      </c>
    </row>
    <row r="28">
      <c r="B28" s="7" t="inlineStr">
        <is>
          <t>Not certified software</t>
        </is>
      </c>
      <c r="C28" s="8" t="inlineStr">
        <is>
          <t>This is a management aid. It does not issue invoices: in Portugal invoices must come from certified invoicing software. It is not payroll or tax-filing software.</t>
        </is>
      </c>
    </row>
    <row r="30">
      <c r="B30" s="13" t="inlineStr">
        <is>
          <t>Need it adapted to your process? RotaVoo can customise this tool for you.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Sales dashboard</t>
        </is>
      </c>
    </row>
    <row r="2">
      <c r="A2" s="3">
        <f>BizName&amp;" · Year "&amp;SelYear</f>
        <v/>
      </c>
    </row>
    <row r="3">
      <c r="A3" s="13" t="inlineStr">
        <is>
          <t>Updates automatically from the Pipeline sheet.</t>
        </is>
      </c>
    </row>
    <row r="5">
      <c r="B5" s="14" t="inlineStr">
        <is>
          <t>Pipeline today</t>
        </is>
      </c>
    </row>
    <row r="6">
      <c r="B6" s="15" t="inlineStr">
        <is>
          <t>Open pipeline value</t>
        </is>
      </c>
      <c r="D6" s="15" t="inlineStr">
        <is>
          <t>Open opportunities</t>
        </is>
      </c>
      <c r="F6" s="15" t="inlineStr">
        <is>
          <t>Follow-ups overdue</t>
        </is>
      </c>
      <c r="H6" s="15" t="inlineStr">
        <is>
          <t>Follow-ups due today</t>
        </is>
      </c>
    </row>
    <row r="7">
      <c r="B7" s="16">
        <f>SUMIFS('Pipeline'!$G$2:$G$13,'Pipeline'!$H$2:$H$13,"New")+SUMIFS('Pipeline'!$G$2:$G$13,'Pipeline'!$H$2:$H$13,"Contacted")+SUMIFS('Pipeline'!$G$2:$G$13,'Pipeline'!$H$2:$H$13,"Quoted")</f>
        <v/>
      </c>
      <c r="D7" s="17">
        <f>COUNTIF('Pipeline'!$H$2:$H$13,"New")+COUNTIF('Pipeline'!$H$2:$H$13,"Contacted")+COUNTIF('Pipeline'!$H$2:$H$13,"Quoted")</f>
        <v/>
      </c>
      <c r="F7" s="17">
        <f>COUNTIF('Pipeline'!$N$2:$N$13,"Overdue")</f>
        <v/>
      </c>
      <c r="H7" s="17">
        <f>COUNTIF('Pipeline'!$N$2:$N$13,"Today")</f>
        <v/>
      </c>
    </row>
    <row r="9">
      <c r="B9" s="14" t="inlineStr">
        <is>
          <t>This year</t>
        </is>
      </c>
    </row>
    <row r="10">
      <c r="B10" s="15" t="inlineStr">
        <is>
          <t>Value won</t>
        </is>
      </c>
      <c r="D10" s="15" t="inlineStr">
        <is>
          <t>Deals won</t>
        </is>
      </c>
      <c r="F10" s="15" t="inlineStr">
        <is>
          <t>Win rate</t>
        </is>
      </c>
      <c r="H10" s="15" t="inlineStr">
        <is>
          <t>Average won deal</t>
        </is>
      </c>
    </row>
    <row r="11">
      <c r="B11" s="16">
        <f>'Sales by month'!G17</f>
        <v/>
      </c>
      <c r="D11" s="17">
        <f>'Sales by month'!F17</f>
        <v/>
      </c>
      <c r="F11" s="18">
        <f>'Sales by month'!I17</f>
        <v/>
      </c>
      <c r="H11" s="16">
        <f>'Sales by month'!J17</f>
        <v/>
      </c>
    </row>
    <row r="13">
      <c r="B13" s="14" t="inlineStr">
        <is>
          <t>By source (all time)</t>
        </is>
      </c>
    </row>
    <row r="14">
      <c r="B14" s="19" t="inlineStr">
        <is>
          <t>Source</t>
        </is>
      </c>
      <c r="C14" s="19" t="inlineStr">
        <is>
          <t>Enquiries</t>
        </is>
      </c>
      <c r="D14" s="19" t="inlineStr">
        <is>
          <t>Value won €</t>
        </is>
      </c>
    </row>
    <row r="15">
      <c r="B15" s="20">
        <f>IF(INDEX(SourceList,1)="","",INDEX(SourceList,1))</f>
        <v/>
      </c>
      <c r="C15" s="21">
        <f>IF(B15="","",COUNTIF('Pipeline'!$E$2:$E$13,B15))</f>
        <v/>
      </c>
      <c r="D15" s="22">
        <f>IF(B15="","",SUMIFS('Pipeline'!$G$2:$G$13,'Pipeline'!$E$2:$E$13,B15,'Pipeline'!$H$2:$H$13,"Won"))</f>
        <v/>
      </c>
    </row>
    <row r="16">
      <c r="B16" s="20">
        <f>IF(INDEX(SourceList,2)="","",INDEX(SourceList,2))</f>
        <v/>
      </c>
      <c r="C16" s="21">
        <f>IF(B16="","",COUNTIF('Pipeline'!$E$2:$E$13,B16))</f>
        <v/>
      </c>
      <c r="D16" s="22">
        <f>IF(B16="","",SUMIFS('Pipeline'!$G$2:$G$13,'Pipeline'!$E$2:$E$13,B16,'Pipeline'!$H$2:$H$13,"Won"))</f>
        <v/>
      </c>
    </row>
    <row r="17">
      <c r="B17" s="20">
        <f>IF(INDEX(SourceList,3)="","",INDEX(SourceList,3))</f>
        <v/>
      </c>
      <c r="C17" s="21">
        <f>IF(B17="","",COUNTIF('Pipeline'!$E$2:$E$13,B17))</f>
        <v/>
      </c>
      <c r="D17" s="22">
        <f>IF(B17="","",SUMIFS('Pipeline'!$G$2:$G$13,'Pipeline'!$E$2:$E$13,B17,'Pipeline'!$H$2:$H$13,"Won"))</f>
        <v/>
      </c>
    </row>
    <row r="18">
      <c r="B18" s="20">
        <f>IF(INDEX(SourceList,4)="","",INDEX(SourceList,4))</f>
        <v/>
      </c>
      <c r="C18" s="21">
        <f>IF(B18="","",COUNTIF('Pipeline'!$E$2:$E$13,B18))</f>
        <v/>
      </c>
      <c r="D18" s="22">
        <f>IF(B18="","",SUMIFS('Pipeline'!$G$2:$G$13,'Pipeline'!$E$2:$E$13,B18,'Pipeline'!$H$2:$H$13,"Won"))</f>
        <v/>
      </c>
    </row>
    <row r="19">
      <c r="B19" s="20">
        <f>IF(INDEX(SourceList,5)="","",INDEX(SourceList,5))</f>
        <v/>
      </c>
      <c r="C19" s="21">
        <f>IF(B19="","",COUNTIF('Pipeline'!$E$2:$E$13,B19))</f>
        <v/>
      </c>
      <c r="D19" s="22">
        <f>IF(B19="","",SUMIFS('Pipeline'!$G$2:$G$13,'Pipeline'!$E$2:$E$13,B19,'Pipeline'!$H$2:$H$13,"Won"))</f>
        <v/>
      </c>
    </row>
    <row r="20">
      <c r="B20" s="20">
        <f>IF(INDEX(SourceList,6)="","",INDEX(SourceList,6))</f>
        <v/>
      </c>
      <c r="C20" s="21">
        <f>IF(B20="","",COUNTIF('Pipeline'!$E$2:$E$13,B20))</f>
        <v/>
      </c>
      <c r="D20" s="22">
        <f>IF(B20="","",SUMIFS('Pipeline'!$G$2:$G$13,'Pipeline'!$E$2:$E$13,B20,'Pipeline'!$H$2:$H$13,"Won"))</f>
        <v/>
      </c>
    </row>
    <row r="21">
      <c r="B21" s="20">
        <f>IF(INDEX(SourceList,7)="","",INDEX(SourceList,7))</f>
        <v/>
      </c>
      <c r="C21" s="21">
        <f>IF(B21="","",COUNTIF('Pipeline'!$E$2:$E$13,B21))</f>
        <v/>
      </c>
      <c r="D21" s="22">
        <f>IF(B21="","",SUMIFS('Pipeline'!$G$2:$G$13,'Pipeline'!$E$2:$E$13,B21,'Pipeline'!$H$2:$H$13,"Won"))</f>
        <v/>
      </c>
    </row>
    <row r="22">
      <c r="B22" s="20">
        <f>IF(INDEX(SourceList,8)="","",INDEX(SourceList,8))</f>
        <v/>
      </c>
      <c r="C22" s="21">
        <f>IF(B22="","",COUNTIF('Pipeline'!$E$2:$E$13,B22))</f>
        <v/>
      </c>
      <c r="D22" s="22">
        <f>IF(B22="","",SUMIFS('Pipeline'!$G$2:$G$13,'Pipeline'!$E$2:$E$13,B22,'Pipeline'!$H$2:$H$13,"Won"))</f>
        <v/>
      </c>
    </row>
    <row r="23">
      <c r="B23" s="20">
        <f>IF(INDEX(SourceList,9)="","",INDEX(SourceList,9))</f>
        <v/>
      </c>
      <c r="C23" s="21">
        <f>IF(B23="","",COUNTIF('Pipeline'!$E$2:$E$13,B23))</f>
        <v/>
      </c>
      <c r="D23" s="22">
        <f>IF(B23="","",SUMIFS('Pipeline'!$G$2:$G$13,'Pipeline'!$E$2:$E$13,B23,'Pipeline'!$H$2:$H$13,"Won"))</f>
        <v/>
      </c>
    </row>
    <row r="24">
      <c r="B24" s="20">
        <f>IF(INDEX(SourceList,10)="","",INDEX(SourceList,10))</f>
        <v/>
      </c>
      <c r="C24" s="21">
        <f>IF(B24="","",COUNTIF('Pipeline'!$E$2:$E$13,B24))</f>
        <v/>
      </c>
      <c r="D24" s="22">
        <f>IF(B24="","",SUMIFS('Pipeline'!$G$2:$G$13,'Pipeline'!$E$2:$E$13,B24,'Pipeline'!$H$2:$H$13,"Won"))</f>
        <v/>
      </c>
    </row>
    <row r="26">
      <c r="B26" s="14" t="inlineStr">
        <is>
          <t>By stage (all time)</t>
        </is>
      </c>
    </row>
    <row r="27">
      <c r="B27" s="19" t="inlineStr">
        <is>
          <t>Stage</t>
        </is>
      </c>
      <c r="C27" s="19" t="inlineStr">
        <is>
          <t>Count</t>
        </is>
      </c>
      <c r="D27" s="19" t="inlineStr">
        <is>
          <t>Value €</t>
        </is>
      </c>
    </row>
    <row r="28">
      <c r="B28" s="20" t="inlineStr">
        <is>
          <t>New</t>
        </is>
      </c>
      <c r="C28" s="21">
        <f>COUNTIF('Pipeline'!$H$2:$H$13,"New")</f>
        <v/>
      </c>
      <c r="D28" s="22">
        <f>SUMIFS('Pipeline'!$G$2:$G$13,'Pipeline'!$H$2:$H$13,"New")</f>
        <v/>
      </c>
    </row>
    <row r="29">
      <c r="B29" s="20" t="inlineStr">
        <is>
          <t>Contacted</t>
        </is>
      </c>
      <c r="C29" s="21">
        <f>COUNTIF('Pipeline'!$H$2:$H$13,"Contacted")</f>
        <v/>
      </c>
      <c r="D29" s="22">
        <f>SUMIFS('Pipeline'!$G$2:$G$13,'Pipeline'!$H$2:$H$13,"Contacted")</f>
        <v/>
      </c>
    </row>
    <row r="30">
      <c r="B30" s="20" t="inlineStr">
        <is>
          <t>Quoted</t>
        </is>
      </c>
      <c r="C30" s="21">
        <f>COUNTIF('Pipeline'!$H$2:$H$13,"Quoted")</f>
        <v/>
      </c>
      <c r="D30" s="22">
        <f>SUMIFS('Pipeline'!$G$2:$G$13,'Pipeline'!$H$2:$H$13,"Quoted")</f>
        <v/>
      </c>
    </row>
    <row r="31">
      <c r="B31" s="20" t="inlineStr">
        <is>
          <t>Won</t>
        </is>
      </c>
      <c r="C31" s="21">
        <f>COUNTIF('Pipeline'!$H$2:$H$13,"Won")</f>
        <v/>
      </c>
      <c r="D31" s="22">
        <f>SUMIFS('Pipeline'!$G$2:$G$13,'Pipeline'!$H$2:$H$13,"Won")</f>
        <v/>
      </c>
    </row>
    <row r="32">
      <c r="B32" s="20" t="inlineStr">
        <is>
          <t>Lost</t>
        </is>
      </c>
      <c r="C32" s="21">
        <f>COUNTIF('Pipeline'!$H$2:$H$13,"Lost")</f>
        <v/>
      </c>
      <c r="D32" s="22">
        <f>SUMIFS('Pipeline'!$G$2:$G$13,'Pipeline'!$H$2:$H$13,"Lost")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18" customWidth="1" min="3" max="3"/>
    <col width="22" customWidth="1" min="4" max="4"/>
    <col width="13" customWidth="1" min="5" max="5"/>
    <col width="24" customWidth="1" min="6" max="6"/>
    <col width="14" customWidth="1" min="7" max="7"/>
    <col width="13" customWidth="1" min="8" max="8"/>
    <col width="13" customWidth="1" min="9" max="9"/>
    <col width="14" customWidth="1" min="10" max="10"/>
    <col width="16" customWidth="1" min="11" max="11"/>
    <col width="28" customWidth="1" min="12" max="12"/>
    <col width="10" customWidth="1" min="13" max="13"/>
    <col width="14" customWidth="1" min="14" max="14"/>
  </cols>
  <sheetData>
    <row r="1" ht="32" customHeight="1">
      <c r="A1" s="19" t="inlineStr">
        <is>
          <t>Date received</t>
        </is>
      </c>
      <c r="B1" s="19" t="inlineStr">
        <is>
          <t>Customer</t>
        </is>
      </c>
      <c r="C1" s="19" t="inlineStr">
        <is>
          <t>Contact person</t>
        </is>
      </c>
      <c r="D1" s="19" t="inlineStr">
        <is>
          <t>Phone or email</t>
        </is>
      </c>
      <c r="E1" s="19" t="inlineStr">
        <is>
          <t>Source</t>
        </is>
      </c>
      <c r="F1" s="19" t="inlineStr">
        <is>
          <t>Product or service</t>
        </is>
      </c>
      <c r="G1" s="19" t="inlineStr">
        <is>
          <t>Quote value €</t>
        </is>
      </c>
      <c r="H1" s="19" t="inlineStr">
        <is>
          <t>Stage</t>
        </is>
      </c>
      <c r="I1" s="19" t="inlineStr">
        <is>
          <t>Quote sent</t>
        </is>
      </c>
      <c r="J1" s="19" t="inlineStr">
        <is>
          <t>Next follow-up</t>
        </is>
      </c>
      <c r="K1" s="19" t="inlineStr">
        <is>
          <t>Closed date (won or lost)</t>
        </is>
      </c>
      <c r="L1" s="19" t="inlineStr">
        <is>
          <t>Notes</t>
        </is>
      </c>
      <c r="M1" s="19" t="inlineStr">
        <is>
          <t>Days open</t>
        </is>
      </c>
      <c r="N1" s="19" t="inlineStr">
        <is>
          <t>Follow-up status</t>
        </is>
      </c>
    </row>
    <row r="2">
      <c r="A2" s="23" t="n">
        <v>46392</v>
      </c>
      <c r="B2" s="24" t="inlineStr">
        <is>
          <t>Café Aurora</t>
        </is>
      </c>
      <c r="C2" s="24" t="inlineStr">
        <is>
          <t>Rita Sousa</t>
        </is>
      </c>
      <c r="D2" s="24" t="inlineStr">
        <is>
          <t>rita@example.pt</t>
        </is>
      </c>
      <c r="E2" s="24" t="inlineStr">
        <is>
          <t>Website</t>
        </is>
      </c>
      <c r="F2" s="24" t="inlineStr">
        <is>
          <t>Shop fit-out</t>
        </is>
      </c>
      <c r="G2" s="25" t="n">
        <v>2400</v>
      </c>
      <c r="H2" s="24" t="inlineStr">
        <is>
          <t>Won</t>
        </is>
      </c>
      <c r="I2" s="23" t="n">
        <v>46394</v>
      </c>
      <c r="J2" s="23" t="n"/>
      <c r="K2" s="23" t="n">
        <v>46407</v>
      </c>
      <c r="L2" s="24" t="n"/>
      <c r="M2" s="26">
        <f>IF(A2="","",MAX(0,IF(K2&lt;&gt;"",K2,TODAY())-A2))</f>
        <v/>
      </c>
      <c r="N2" s="27">
        <f>IF(OR(A2="",J2="",H2="Won",H2="Lost"),"",IF(J2&lt;TODAY(),"Overdue",IF(J2=TODAY(),"Today","Upcoming")))</f>
        <v/>
      </c>
    </row>
    <row r="3">
      <c r="A3" s="23" t="n">
        <v>46399</v>
      </c>
      <c r="B3" s="24" t="inlineStr">
        <is>
          <t>Studio Nove</t>
        </is>
      </c>
      <c r="C3" s="24" t="inlineStr">
        <is>
          <t>Pedro Alves</t>
        </is>
      </c>
      <c r="D3" s="24" t="inlineStr">
        <is>
          <t>912 000 001</t>
        </is>
      </c>
      <c r="E3" s="24" t="inlineStr">
        <is>
          <t>Referral</t>
        </is>
      </c>
      <c r="F3" s="24" t="inlineStr">
        <is>
          <t>Maintenance contract</t>
        </is>
      </c>
      <c r="G3" s="25" t="n">
        <v>1200</v>
      </c>
      <c r="H3" s="24" t="inlineStr">
        <is>
          <t>Won</t>
        </is>
      </c>
      <c r="I3" s="23" t="n">
        <v>46400</v>
      </c>
      <c r="J3" s="23" t="n"/>
      <c r="K3" s="23" t="n">
        <v>46420</v>
      </c>
      <c r="L3" s="24" t="n"/>
      <c r="M3" s="26">
        <f>IF(A3="","",MAX(0,IF(K3&lt;&gt;"",K3,TODAY())-A3))</f>
        <v/>
      </c>
      <c r="N3" s="27">
        <f>IF(OR(A3="",J3="",H3="Won",H3="Lost"),"",IF(J3&lt;TODAY(),"Overdue",IF(J3=TODAY(),"Today","Upcoming")))</f>
        <v/>
      </c>
    </row>
    <row r="4">
      <c r="A4" s="23" t="n">
        <v>46412</v>
      </c>
      <c r="B4" s="24" t="inlineStr">
        <is>
          <t>Rua do Sol Lda</t>
        </is>
      </c>
      <c r="C4" s="24" t="inlineStr">
        <is>
          <t>Ana Costa</t>
        </is>
      </c>
      <c r="D4" s="24" t="inlineStr">
        <is>
          <t>ana@example.pt</t>
        </is>
      </c>
      <c r="E4" s="24" t="inlineStr">
        <is>
          <t>Instagram</t>
        </is>
      </c>
      <c r="F4" s="24" t="inlineStr">
        <is>
          <t>Kitchen renovation</t>
        </is>
      </c>
      <c r="G4" s="25" t="n">
        <v>980</v>
      </c>
      <c r="H4" s="24" t="inlineStr">
        <is>
          <t>Lost</t>
        </is>
      </c>
      <c r="I4" s="23" t="n">
        <v>46414</v>
      </c>
      <c r="J4" s="23" t="n"/>
      <c r="K4" s="23" t="n">
        <v>46428</v>
      </c>
      <c r="L4" s="24" t="n"/>
      <c r="M4" s="26">
        <f>IF(A4="","",MAX(0,IF(K4&lt;&gt;"",K4,TODAY())-A4))</f>
        <v/>
      </c>
      <c r="N4" s="27">
        <f>IF(OR(A4="",J4="",H4="Won",H4="Lost"),"",IF(J4&lt;TODAY(),"Overdue",IF(J4=TODAY(),"Today","Upcoming")))</f>
        <v/>
      </c>
    </row>
    <row r="5">
      <c r="A5" s="23" t="n">
        <v>46421</v>
      </c>
      <c r="B5" s="24" t="inlineStr">
        <is>
          <t>Casa Lima</t>
        </is>
      </c>
      <c r="C5" s="24" t="inlineStr">
        <is>
          <t>João Lima</t>
        </is>
      </c>
      <c r="D5" s="24" t="inlineStr">
        <is>
          <t>913 000 002</t>
        </is>
      </c>
      <c r="E5" s="24" t="inlineStr">
        <is>
          <t>Phone</t>
        </is>
      </c>
      <c r="F5" s="24" t="inlineStr">
        <is>
          <t>Office refurbishment</t>
        </is>
      </c>
      <c r="G5" s="25" t="n">
        <v>3600</v>
      </c>
      <c r="H5" s="24" t="inlineStr">
        <is>
          <t>Quoted</t>
        </is>
      </c>
      <c r="I5" s="23" t="n">
        <v>46424</v>
      </c>
      <c r="J5" s="23" t="n">
        <v>46447</v>
      </c>
      <c r="K5" s="23" t="n"/>
      <c r="L5" s="24" t="n"/>
      <c r="M5" s="26">
        <f>IF(A5="","",MAX(0,IF(K5&lt;&gt;"",K5,TODAY())-A5))</f>
        <v/>
      </c>
      <c r="N5" s="27">
        <f>IF(OR(A5="",J5="",H5="Won",H5="Lost"),"",IF(J5&lt;TODAY(),"Overdue",IF(J5=TODAY(),"Today","Upcoming")))</f>
        <v/>
      </c>
    </row>
    <row r="6">
      <c r="A6" s="23" t="n">
        <v>46432</v>
      </c>
      <c r="B6" s="24" t="inlineStr">
        <is>
          <t>Padaria Central</t>
        </is>
      </c>
      <c r="C6" s="24" t="inlineStr">
        <is>
          <t>Marta Reis</t>
        </is>
      </c>
      <c r="D6" s="24" t="inlineStr">
        <is>
          <t>marta@example.pt</t>
        </is>
      </c>
      <c r="E6" s="24" t="inlineStr">
        <is>
          <t>Walk-in</t>
        </is>
      </c>
      <c r="F6" s="24" t="inlineStr">
        <is>
          <t>Display shelving</t>
        </is>
      </c>
      <c r="G6" s="25" t="n">
        <v>750</v>
      </c>
      <c r="H6" s="24" t="inlineStr">
        <is>
          <t>Contacted</t>
        </is>
      </c>
      <c r="I6" s="23" t="n"/>
      <c r="J6" s="23" t="n">
        <v>46438</v>
      </c>
      <c r="K6" s="23" t="n"/>
      <c r="L6" s="24" t="n"/>
      <c r="M6" s="26">
        <f>IF(A6="","",MAX(0,IF(K6&lt;&gt;"",K6,TODAY())-A6))</f>
        <v/>
      </c>
      <c r="N6" s="27">
        <f>IF(OR(A6="",J6="",H6="Won",H6="Lost"),"",IF(J6&lt;TODAY(),"Overdue",IF(J6=TODAY(),"Today","Upcoming")))</f>
        <v/>
      </c>
    </row>
    <row r="7">
      <c r="A7" s="23" t="n">
        <v>46439</v>
      </c>
      <c r="B7" s="24" t="inlineStr">
        <is>
          <t>Hotel Mar Azul</t>
        </is>
      </c>
      <c r="C7" s="24" t="inlineStr">
        <is>
          <t>Luís Pinto</t>
        </is>
      </c>
      <c r="D7" s="24" t="inlineStr">
        <is>
          <t>luis@example.pt</t>
        </is>
      </c>
      <c r="E7" s="24" t="inlineStr">
        <is>
          <t>Website</t>
        </is>
      </c>
      <c r="F7" s="24" t="inlineStr">
        <is>
          <t>Room refresh, 6 rooms</t>
        </is>
      </c>
      <c r="G7" s="25" t="n">
        <v>8400</v>
      </c>
      <c r="H7" s="24" t="inlineStr">
        <is>
          <t>Quoted</t>
        </is>
      </c>
      <c r="I7" s="23" t="n">
        <v>46443</v>
      </c>
      <c r="J7" s="23" t="n">
        <v>46456</v>
      </c>
      <c r="K7" s="23" t="n"/>
      <c r="L7" s="24" t="n"/>
      <c r="M7" s="26">
        <f>IF(A7="","",MAX(0,IF(K7&lt;&gt;"",K7,TODAY())-A7))</f>
        <v/>
      </c>
      <c r="N7" s="27">
        <f>IF(OR(A7="",J7="",H7="Won",H7="Lost"),"",IF(J7&lt;TODAY(),"Overdue",IF(J7=TODAY(),"Today","Upcoming")))</f>
        <v/>
      </c>
    </row>
    <row r="8">
      <c r="A8" s="23" t="n">
        <v>46448</v>
      </c>
      <c r="B8" s="24" t="inlineStr">
        <is>
          <t>Oficina Verde</t>
        </is>
      </c>
      <c r="C8" s="24" t="inlineStr">
        <is>
          <t>Sara Matos</t>
        </is>
      </c>
      <c r="D8" s="24" t="inlineStr">
        <is>
          <t>914 000 003</t>
        </is>
      </c>
      <c r="E8" s="24" t="inlineStr">
        <is>
          <t>Referral</t>
        </is>
      </c>
      <c r="F8" s="24" t="inlineStr">
        <is>
          <t>Workshop storage</t>
        </is>
      </c>
      <c r="G8" s="25" t="n">
        <v>1450</v>
      </c>
      <c r="H8" s="24" t="inlineStr">
        <is>
          <t>Won</t>
        </is>
      </c>
      <c r="I8" s="23" t="n">
        <v>46450</v>
      </c>
      <c r="J8" s="23" t="n"/>
      <c r="K8" s="23" t="n">
        <v>46461</v>
      </c>
      <c r="L8" s="24" t="n"/>
      <c r="M8" s="26">
        <f>IF(A8="","",MAX(0,IF(K8&lt;&gt;"",K8,TODAY())-A8))</f>
        <v/>
      </c>
      <c r="N8" s="27">
        <f>IF(OR(A8="",J8="",H8="Won",H8="Lost"),"",IF(J8&lt;TODAY(),"Overdue",IF(J8=TODAY(),"Today","Upcoming")))</f>
        <v/>
      </c>
    </row>
    <row r="9">
      <c r="A9" s="23" t="n">
        <v>46455</v>
      </c>
      <c r="B9" s="24" t="inlineStr">
        <is>
          <t>Ginásio Forte</t>
        </is>
      </c>
      <c r="C9" s="24" t="inlineStr">
        <is>
          <t>Rui Gomes</t>
        </is>
      </c>
      <c r="D9" s="24" t="inlineStr">
        <is>
          <t>rui@example.pt</t>
        </is>
      </c>
      <c r="E9" s="24" t="inlineStr">
        <is>
          <t>Website</t>
        </is>
      </c>
      <c r="F9" s="24" t="inlineStr">
        <is>
          <t>Reception desk</t>
        </is>
      </c>
      <c r="G9" s="25" t="n">
        <v>2100</v>
      </c>
      <c r="H9" s="24" t="inlineStr">
        <is>
          <t>New</t>
        </is>
      </c>
      <c r="I9" s="23" t="n"/>
      <c r="J9" s="23" t="n">
        <v>46458</v>
      </c>
      <c r="K9" s="23" t="n"/>
      <c r="L9" s="24" t="n"/>
      <c r="M9" s="26">
        <f>IF(A9="","",MAX(0,IF(K9&lt;&gt;"",K9,TODAY())-A9))</f>
        <v/>
      </c>
      <c r="N9" s="27">
        <f>IF(OR(A9="",J9="",H9="Won",H9="Lost"),"",IF(J9&lt;TODAY(),"Overdue",IF(J9=TODAY(),"Today","Upcoming")))</f>
        <v/>
      </c>
    </row>
    <row r="10">
      <c r="A10" s="23" t="n"/>
      <c r="B10" s="24" t="n"/>
      <c r="C10" s="24" t="n"/>
      <c r="D10" s="24" t="n"/>
      <c r="E10" s="24" t="n"/>
      <c r="F10" s="24" t="n"/>
      <c r="G10" s="25" t="n"/>
      <c r="H10" s="24" t="n"/>
      <c r="I10" s="23" t="n"/>
      <c r="J10" s="23" t="n"/>
      <c r="K10" s="23" t="n"/>
      <c r="L10" s="24" t="n"/>
      <c r="M10" s="26">
        <f>IF(A10="","",MAX(0,IF(K10&lt;&gt;"",K10,TODAY())-A10))</f>
        <v/>
      </c>
      <c r="N10" s="27">
        <f>IF(OR(A10="",J10="",H10="Won",H10="Lost"),"",IF(J10&lt;TODAY(),"Overdue",IF(J10=TODAY(),"Today","Upcoming")))</f>
        <v/>
      </c>
    </row>
    <row r="11">
      <c r="A11" s="23" t="n"/>
      <c r="B11" s="24" t="n"/>
      <c r="C11" s="24" t="n"/>
      <c r="D11" s="24" t="n"/>
      <c r="E11" s="24" t="n"/>
      <c r="F11" s="24" t="n"/>
      <c r="G11" s="25" t="n"/>
      <c r="H11" s="24" t="n"/>
      <c r="I11" s="23" t="n"/>
      <c r="J11" s="23" t="n"/>
      <c r="K11" s="23" t="n"/>
      <c r="L11" s="24" t="n"/>
      <c r="M11" s="26">
        <f>IF(A11="","",MAX(0,IF(K11&lt;&gt;"",K11,TODAY())-A11))</f>
        <v/>
      </c>
      <c r="N11" s="27">
        <f>IF(OR(A11="",J11="",H11="Won",H11="Lost"),"",IF(J11&lt;TODAY(),"Overdue",IF(J11=TODAY(),"Today","Upcoming")))</f>
        <v/>
      </c>
    </row>
    <row r="12">
      <c r="A12" s="23" t="n"/>
      <c r="B12" s="24" t="n"/>
      <c r="C12" s="24" t="n"/>
      <c r="D12" s="24" t="n"/>
      <c r="E12" s="24" t="n"/>
      <c r="F12" s="24" t="n"/>
      <c r="G12" s="25" t="n"/>
      <c r="H12" s="24" t="n"/>
      <c r="I12" s="23" t="n"/>
      <c r="J12" s="23" t="n"/>
      <c r="K12" s="23" t="n"/>
      <c r="L12" s="24" t="n"/>
      <c r="M12" s="26">
        <f>IF(A12="","",MAX(0,IF(K12&lt;&gt;"",K12,TODAY())-A12))</f>
        <v/>
      </c>
      <c r="N12" s="27">
        <f>IF(OR(A12="",J12="",H12="Won",H12="Lost"),"",IF(J12&lt;TODAY(),"Overdue",IF(J12=TODAY(),"Today","Upcoming")))</f>
        <v/>
      </c>
    </row>
    <row r="13">
      <c r="A13" s="23" t="n"/>
      <c r="B13" s="24" t="n"/>
      <c r="C13" s="24" t="n"/>
      <c r="D13" s="24" t="n"/>
      <c r="E13" s="24" t="n"/>
      <c r="F13" s="24" t="n"/>
      <c r="G13" s="25" t="n"/>
      <c r="H13" s="24" t="n"/>
      <c r="I13" s="23" t="n"/>
      <c r="J13" s="23" t="n"/>
      <c r="K13" s="23" t="n"/>
      <c r="L13" s="24" t="n"/>
      <c r="M13" s="26">
        <f>IF(A13="","",MAX(0,IF(K13&lt;&gt;"",K13,TODAY())-A13))</f>
        <v/>
      </c>
      <c r="N13" s="27">
        <f>IF(OR(A13="",J13="",H13="Won",H13="Lost"),"",IF(J13&lt;TODAY(),"Overdue",IF(J13=TODAY(),"Today","Upcoming")))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N2:N13">
    <cfRule type="cellIs" priority="1" operator="equal" dxfId="0">
      <formula>"Overdue"</formula>
    </cfRule>
    <cfRule type="cellIs" priority="2" operator="equal" dxfId="1">
      <formula>"Today"</formula>
    </cfRule>
  </conditionalFormatting>
  <conditionalFormatting sqref="H2:H13">
    <cfRule type="cellIs" priority="3" operator="equal" dxfId="2">
      <formula>"Won"</formula>
    </cfRule>
    <cfRule type="cellIs" priority="4" operator="equal" dxfId="3">
      <formula>"Lost"</formula>
    </cfRule>
  </conditionalFormatting>
  <dataValidations count="3">
    <dataValidation sqref="E2:E13" showDropDown="0" showInputMessage="0" showErrorMessage="1" allowBlank="1" errorTitle="Not in the list" error="Choose a value from the list (edit lists in Settings)." type="list">
      <formula1>=SourceList</formula1>
    </dataValidation>
    <dataValidation sqref="G2:G13" showDropDown="0" showInputMessage="0" showErrorMessage="1" allowBlank="1" error="Enter a number." type="decimal" operator="greaterThanOrEqual">
      <formula1>0</formula1>
    </dataValidation>
    <dataValidation sqref="H2:H13" showDropDown="0" showInputMessage="0" showErrorMessage="1" allowBlank="1" errorTitle="Not in the list" error="Choose a value from the list (edit lists in Settings)." type="list">
      <formula1>=StageList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14" customWidth="1" min="4" max="4"/>
    <col width="16" customWidth="1" min="5" max="5"/>
    <col width="14" customWidth="1" min="6" max="6"/>
    <col width="16" customWidth="1" min="7" max="7"/>
    <col width="14" customWidth="1" min="8" max="8"/>
    <col width="13" customWidth="1" min="9" max="9"/>
    <col width="18" customWidth="1" min="10" max="10"/>
  </cols>
  <sheetData>
    <row r="1">
      <c r="A1" s="1" t="inlineStr">
        <is>
          <t>Sales by month</t>
        </is>
      </c>
    </row>
    <row r="2">
      <c r="A2" s="3" t="inlineStr">
        <is>
          <t>Counts and values for each month of the year in Settings. Quotes count in the month they were sent; wins and losses in the month they closed.</t>
        </is>
      </c>
    </row>
    <row r="4" ht="32" customHeight="1">
      <c r="A4" s="19" t="inlineStr">
        <is>
          <t>Month start</t>
        </is>
      </c>
      <c r="B4" s="19" t="inlineStr">
        <is>
          <t>Month</t>
        </is>
      </c>
      <c r="C4" s="19" t="inlineStr">
        <is>
          <t>New enquiries</t>
        </is>
      </c>
      <c r="D4" s="19" t="inlineStr">
        <is>
          <t>Quotes sent</t>
        </is>
      </c>
      <c r="E4" s="19" t="inlineStr">
        <is>
          <t>Value quoted €</t>
        </is>
      </c>
      <c r="F4" s="19" t="inlineStr">
        <is>
          <t>Deals won</t>
        </is>
      </c>
      <c r="G4" s="19" t="inlineStr">
        <is>
          <t>Value won €</t>
        </is>
      </c>
      <c r="H4" s="19" t="inlineStr">
        <is>
          <t>Deals lost</t>
        </is>
      </c>
      <c r="I4" s="19" t="inlineStr">
        <is>
          <t>Win rate</t>
        </is>
      </c>
      <c r="J4" s="19" t="inlineStr">
        <is>
          <t>Average won deal €</t>
        </is>
      </c>
    </row>
    <row r="5">
      <c r="A5" s="28">
        <f>DATE(SelYear,1,1)</f>
        <v/>
      </c>
      <c r="B5" s="29" t="inlineStr">
        <is>
          <t>Jan</t>
        </is>
      </c>
      <c r="C5" s="30">
        <f>COUNTIFS('Pipeline'!$A$2:$A$13,"&gt;="&amp;$A5,'Pipeline'!$A$2:$A$13,"&lt;"&amp;DATE(YEAR($A5),MONTH($A5)+1,1))</f>
        <v/>
      </c>
      <c r="D5" s="30">
        <f>COUNTIFS('Pipeline'!$I$2:$I$13,"&gt;="&amp;$A5,'Pipeline'!$I$2:$I$13,"&lt;"&amp;DATE(YEAR($A5),MONTH($A5)+1,1))</f>
        <v/>
      </c>
      <c r="E5" s="31">
        <f>SUMIFS('Pipeline'!$G$2:$G$13,'Pipeline'!$I$2:$I$13,"&gt;="&amp;$A5,'Pipeline'!$I$2:$I$13,"&lt;"&amp;DATE(YEAR($A5),MONTH($A5)+1,1))</f>
        <v/>
      </c>
      <c r="F5" s="30">
        <f>COUNTIFS('Pipeline'!$H$2:$H$13,"Won",'Pipeline'!$K$2:$K$13,"&gt;="&amp;$A5,'Pipeline'!$K$2:$K$13,"&lt;"&amp;DATE(YEAR($A5),MONTH($A5)+1,1))</f>
        <v/>
      </c>
      <c r="G5" s="31">
        <f>SUMIFS('Pipeline'!$G$2:$G$13,'Pipeline'!$H$2:$H$13,"Won",'Pipeline'!$K$2:$K$13,"&gt;="&amp;$A5,'Pipeline'!$K$2:$K$13,"&lt;"&amp;DATE(YEAR($A5),MONTH($A5)+1,1))</f>
        <v/>
      </c>
      <c r="H5" s="30">
        <f>COUNTIFS('Pipeline'!$H$2:$H$13,"Lost",'Pipeline'!$K$2:$K$13,"&gt;="&amp;$A5,'Pipeline'!$K$2:$K$13,"&lt;"&amp;DATE(YEAR($A5),MONTH($A5)+1,1))</f>
        <v/>
      </c>
      <c r="I5" s="32">
        <f>IF(F5+H5=0,"",F5/(F5+H5))</f>
        <v/>
      </c>
      <c r="J5" s="31">
        <f>IF(F5=0,"",G5/F5)</f>
        <v/>
      </c>
    </row>
    <row r="6">
      <c r="A6" s="28">
        <f>DATE(SelYear,2,1)</f>
        <v/>
      </c>
      <c r="B6" s="29" t="inlineStr">
        <is>
          <t>Feb</t>
        </is>
      </c>
      <c r="C6" s="30">
        <f>COUNTIFS('Pipeline'!$A$2:$A$13,"&gt;="&amp;$A6,'Pipeline'!$A$2:$A$13,"&lt;"&amp;DATE(YEAR($A6),MONTH($A6)+1,1))</f>
        <v/>
      </c>
      <c r="D6" s="30">
        <f>COUNTIFS('Pipeline'!$I$2:$I$13,"&gt;="&amp;$A6,'Pipeline'!$I$2:$I$13,"&lt;"&amp;DATE(YEAR($A6),MONTH($A6)+1,1))</f>
        <v/>
      </c>
      <c r="E6" s="31">
        <f>SUMIFS('Pipeline'!$G$2:$G$13,'Pipeline'!$I$2:$I$13,"&gt;="&amp;$A6,'Pipeline'!$I$2:$I$13,"&lt;"&amp;DATE(YEAR($A6),MONTH($A6)+1,1))</f>
        <v/>
      </c>
      <c r="F6" s="30">
        <f>COUNTIFS('Pipeline'!$H$2:$H$13,"Won",'Pipeline'!$K$2:$K$13,"&gt;="&amp;$A6,'Pipeline'!$K$2:$K$13,"&lt;"&amp;DATE(YEAR($A6),MONTH($A6)+1,1))</f>
        <v/>
      </c>
      <c r="G6" s="31">
        <f>SUMIFS('Pipeline'!$G$2:$G$13,'Pipeline'!$H$2:$H$13,"Won",'Pipeline'!$K$2:$K$13,"&gt;="&amp;$A6,'Pipeline'!$K$2:$K$13,"&lt;"&amp;DATE(YEAR($A6),MONTH($A6)+1,1))</f>
        <v/>
      </c>
      <c r="H6" s="30">
        <f>COUNTIFS('Pipeline'!$H$2:$H$13,"Lost",'Pipeline'!$K$2:$K$13,"&gt;="&amp;$A6,'Pipeline'!$K$2:$K$13,"&lt;"&amp;DATE(YEAR($A6),MONTH($A6)+1,1))</f>
        <v/>
      </c>
      <c r="I6" s="32">
        <f>IF(F6+H6=0,"",F6/(F6+H6))</f>
        <v/>
      </c>
      <c r="J6" s="31">
        <f>IF(F6=0,"",G6/F6)</f>
        <v/>
      </c>
    </row>
    <row r="7">
      <c r="A7" s="28">
        <f>DATE(SelYear,3,1)</f>
        <v/>
      </c>
      <c r="B7" s="29" t="inlineStr">
        <is>
          <t>Mar</t>
        </is>
      </c>
      <c r="C7" s="30">
        <f>COUNTIFS('Pipeline'!$A$2:$A$13,"&gt;="&amp;$A7,'Pipeline'!$A$2:$A$13,"&lt;"&amp;DATE(YEAR($A7),MONTH($A7)+1,1))</f>
        <v/>
      </c>
      <c r="D7" s="30">
        <f>COUNTIFS('Pipeline'!$I$2:$I$13,"&gt;="&amp;$A7,'Pipeline'!$I$2:$I$13,"&lt;"&amp;DATE(YEAR($A7),MONTH($A7)+1,1))</f>
        <v/>
      </c>
      <c r="E7" s="31">
        <f>SUMIFS('Pipeline'!$G$2:$G$13,'Pipeline'!$I$2:$I$13,"&gt;="&amp;$A7,'Pipeline'!$I$2:$I$13,"&lt;"&amp;DATE(YEAR($A7),MONTH($A7)+1,1))</f>
        <v/>
      </c>
      <c r="F7" s="30">
        <f>COUNTIFS('Pipeline'!$H$2:$H$13,"Won",'Pipeline'!$K$2:$K$13,"&gt;="&amp;$A7,'Pipeline'!$K$2:$K$13,"&lt;"&amp;DATE(YEAR($A7),MONTH($A7)+1,1))</f>
        <v/>
      </c>
      <c r="G7" s="31">
        <f>SUMIFS('Pipeline'!$G$2:$G$13,'Pipeline'!$H$2:$H$13,"Won",'Pipeline'!$K$2:$K$13,"&gt;="&amp;$A7,'Pipeline'!$K$2:$K$13,"&lt;"&amp;DATE(YEAR($A7),MONTH($A7)+1,1))</f>
        <v/>
      </c>
      <c r="H7" s="30">
        <f>COUNTIFS('Pipeline'!$H$2:$H$13,"Lost",'Pipeline'!$K$2:$K$13,"&gt;="&amp;$A7,'Pipeline'!$K$2:$K$13,"&lt;"&amp;DATE(YEAR($A7),MONTH($A7)+1,1))</f>
        <v/>
      </c>
      <c r="I7" s="32">
        <f>IF(F7+H7=0,"",F7/(F7+H7))</f>
        <v/>
      </c>
      <c r="J7" s="31">
        <f>IF(F7=0,"",G7/F7)</f>
        <v/>
      </c>
    </row>
    <row r="8">
      <c r="A8" s="28">
        <f>DATE(SelYear,4,1)</f>
        <v/>
      </c>
      <c r="B8" s="29" t="inlineStr">
        <is>
          <t>Apr</t>
        </is>
      </c>
      <c r="C8" s="30">
        <f>COUNTIFS('Pipeline'!$A$2:$A$13,"&gt;="&amp;$A8,'Pipeline'!$A$2:$A$13,"&lt;"&amp;DATE(YEAR($A8),MONTH($A8)+1,1))</f>
        <v/>
      </c>
      <c r="D8" s="30">
        <f>COUNTIFS('Pipeline'!$I$2:$I$13,"&gt;="&amp;$A8,'Pipeline'!$I$2:$I$13,"&lt;"&amp;DATE(YEAR($A8),MONTH($A8)+1,1))</f>
        <v/>
      </c>
      <c r="E8" s="31">
        <f>SUMIFS('Pipeline'!$G$2:$G$13,'Pipeline'!$I$2:$I$13,"&gt;="&amp;$A8,'Pipeline'!$I$2:$I$13,"&lt;"&amp;DATE(YEAR($A8),MONTH($A8)+1,1))</f>
        <v/>
      </c>
      <c r="F8" s="30">
        <f>COUNTIFS('Pipeline'!$H$2:$H$13,"Won",'Pipeline'!$K$2:$K$13,"&gt;="&amp;$A8,'Pipeline'!$K$2:$K$13,"&lt;"&amp;DATE(YEAR($A8),MONTH($A8)+1,1))</f>
        <v/>
      </c>
      <c r="G8" s="31">
        <f>SUMIFS('Pipeline'!$G$2:$G$13,'Pipeline'!$H$2:$H$13,"Won",'Pipeline'!$K$2:$K$13,"&gt;="&amp;$A8,'Pipeline'!$K$2:$K$13,"&lt;"&amp;DATE(YEAR($A8),MONTH($A8)+1,1))</f>
        <v/>
      </c>
      <c r="H8" s="30">
        <f>COUNTIFS('Pipeline'!$H$2:$H$13,"Lost",'Pipeline'!$K$2:$K$13,"&gt;="&amp;$A8,'Pipeline'!$K$2:$K$13,"&lt;"&amp;DATE(YEAR($A8),MONTH($A8)+1,1))</f>
        <v/>
      </c>
      <c r="I8" s="32">
        <f>IF(F8+H8=0,"",F8/(F8+H8))</f>
        <v/>
      </c>
      <c r="J8" s="31">
        <f>IF(F8=0,"",G8/F8)</f>
        <v/>
      </c>
    </row>
    <row r="9">
      <c r="A9" s="28">
        <f>DATE(SelYear,5,1)</f>
        <v/>
      </c>
      <c r="B9" s="29" t="inlineStr">
        <is>
          <t>May</t>
        </is>
      </c>
      <c r="C9" s="30">
        <f>COUNTIFS('Pipeline'!$A$2:$A$13,"&gt;="&amp;$A9,'Pipeline'!$A$2:$A$13,"&lt;"&amp;DATE(YEAR($A9),MONTH($A9)+1,1))</f>
        <v/>
      </c>
      <c r="D9" s="30">
        <f>COUNTIFS('Pipeline'!$I$2:$I$13,"&gt;="&amp;$A9,'Pipeline'!$I$2:$I$13,"&lt;"&amp;DATE(YEAR($A9),MONTH($A9)+1,1))</f>
        <v/>
      </c>
      <c r="E9" s="31">
        <f>SUMIFS('Pipeline'!$G$2:$G$13,'Pipeline'!$I$2:$I$13,"&gt;="&amp;$A9,'Pipeline'!$I$2:$I$13,"&lt;"&amp;DATE(YEAR($A9),MONTH($A9)+1,1))</f>
        <v/>
      </c>
      <c r="F9" s="30">
        <f>COUNTIFS('Pipeline'!$H$2:$H$13,"Won",'Pipeline'!$K$2:$K$13,"&gt;="&amp;$A9,'Pipeline'!$K$2:$K$13,"&lt;"&amp;DATE(YEAR($A9),MONTH($A9)+1,1))</f>
        <v/>
      </c>
      <c r="G9" s="31">
        <f>SUMIFS('Pipeline'!$G$2:$G$13,'Pipeline'!$H$2:$H$13,"Won",'Pipeline'!$K$2:$K$13,"&gt;="&amp;$A9,'Pipeline'!$K$2:$K$13,"&lt;"&amp;DATE(YEAR($A9),MONTH($A9)+1,1))</f>
        <v/>
      </c>
      <c r="H9" s="30">
        <f>COUNTIFS('Pipeline'!$H$2:$H$13,"Lost",'Pipeline'!$K$2:$K$13,"&gt;="&amp;$A9,'Pipeline'!$K$2:$K$13,"&lt;"&amp;DATE(YEAR($A9),MONTH($A9)+1,1))</f>
        <v/>
      </c>
      <c r="I9" s="32">
        <f>IF(F9+H9=0,"",F9/(F9+H9))</f>
        <v/>
      </c>
      <c r="J9" s="31">
        <f>IF(F9=0,"",G9/F9)</f>
        <v/>
      </c>
    </row>
    <row r="10">
      <c r="A10" s="28">
        <f>DATE(SelYear,6,1)</f>
        <v/>
      </c>
      <c r="B10" s="29" t="inlineStr">
        <is>
          <t>Jun</t>
        </is>
      </c>
      <c r="C10" s="30">
        <f>COUNTIFS('Pipeline'!$A$2:$A$13,"&gt;="&amp;$A10,'Pipeline'!$A$2:$A$13,"&lt;"&amp;DATE(YEAR($A10),MONTH($A10)+1,1))</f>
        <v/>
      </c>
      <c r="D10" s="30">
        <f>COUNTIFS('Pipeline'!$I$2:$I$13,"&gt;="&amp;$A10,'Pipeline'!$I$2:$I$13,"&lt;"&amp;DATE(YEAR($A10),MONTH($A10)+1,1))</f>
        <v/>
      </c>
      <c r="E10" s="31">
        <f>SUMIFS('Pipeline'!$G$2:$G$13,'Pipeline'!$I$2:$I$13,"&gt;="&amp;$A10,'Pipeline'!$I$2:$I$13,"&lt;"&amp;DATE(YEAR($A10),MONTH($A10)+1,1))</f>
        <v/>
      </c>
      <c r="F10" s="30">
        <f>COUNTIFS('Pipeline'!$H$2:$H$13,"Won",'Pipeline'!$K$2:$K$13,"&gt;="&amp;$A10,'Pipeline'!$K$2:$K$13,"&lt;"&amp;DATE(YEAR($A10),MONTH($A10)+1,1))</f>
        <v/>
      </c>
      <c r="G10" s="31">
        <f>SUMIFS('Pipeline'!$G$2:$G$13,'Pipeline'!$H$2:$H$13,"Won",'Pipeline'!$K$2:$K$13,"&gt;="&amp;$A10,'Pipeline'!$K$2:$K$13,"&lt;"&amp;DATE(YEAR($A10),MONTH($A10)+1,1))</f>
        <v/>
      </c>
      <c r="H10" s="30">
        <f>COUNTIFS('Pipeline'!$H$2:$H$13,"Lost",'Pipeline'!$K$2:$K$13,"&gt;="&amp;$A10,'Pipeline'!$K$2:$K$13,"&lt;"&amp;DATE(YEAR($A10),MONTH($A10)+1,1))</f>
        <v/>
      </c>
      <c r="I10" s="32">
        <f>IF(F10+H10=0,"",F10/(F10+H10))</f>
        <v/>
      </c>
      <c r="J10" s="31">
        <f>IF(F10=0,"",G10/F10)</f>
        <v/>
      </c>
    </row>
    <row r="11">
      <c r="A11" s="28">
        <f>DATE(SelYear,7,1)</f>
        <v/>
      </c>
      <c r="B11" s="29" t="inlineStr">
        <is>
          <t>Jul</t>
        </is>
      </c>
      <c r="C11" s="30">
        <f>COUNTIFS('Pipeline'!$A$2:$A$13,"&gt;="&amp;$A11,'Pipeline'!$A$2:$A$13,"&lt;"&amp;DATE(YEAR($A11),MONTH($A11)+1,1))</f>
        <v/>
      </c>
      <c r="D11" s="30">
        <f>COUNTIFS('Pipeline'!$I$2:$I$13,"&gt;="&amp;$A11,'Pipeline'!$I$2:$I$13,"&lt;"&amp;DATE(YEAR($A11),MONTH($A11)+1,1))</f>
        <v/>
      </c>
      <c r="E11" s="31">
        <f>SUMIFS('Pipeline'!$G$2:$G$13,'Pipeline'!$I$2:$I$13,"&gt;="&amp;$A11,'Pipeline'!$I$2:$I$13,"&lt;"&amp;DATE(YEAR($A11),MONTH($A11)+1,1))</f>
        <v/>
      </c>
      <c r="F11" s="30">
        <f>COUNTIFS('Pipeline'!$H$2:$H$13,"Won",'Pipeline'!$K$2:$K$13,"&gt;="&amp;$A11,'Pipeline'!$K$2:$K$13,"&lt;"&amp;DATE(YEAR($A11),MONTH($A11)+1,1))</f>
        <v/>
      </c>
      <c r="G11" s="31">
        <f>SUMIFS('Pipeline'!$G$2:$G$13,'Pipeline'!$H$2:$H$13,"Won",'Pipeline'!$K$2:$K$13,"&gt;="&amp;$A11,'Pipeline'!$K$2:$K$13,"&lt;"&amp;DATE(YEAR($A11),MONTH($A11)+1,1))</f>
        <v/>
      </c>
      <c r="H11" s="30">
        <f>COUNTIFS('Pipeline'!$H$2:$H$13,"Lost",'Pipeline'!$K$2:$K$13,"&gt;="&amp;$A11,'Pipeline'!$K$2:$K$13,"&lt;"&amp;DATE(YEAR($A11),MONTH($A11)+1,1))</f>
        <v/>
      </c>
      <c r="I11" s="32">
        <f>IF(F11+H11=0,"",F11/(F11+H11))</f>
        <v/>
      </c>
      <c r="J11" s="31">
        <f>IF(F11=0,"",G11/F11)</f>
        <v/>
      </c>
    </row>
    <row r="12">
      <c r="A12" s="28">
        <f>DATE(SelYear,8,1)</f>
        <v/>
      </c>
      <c r="B12" s="29" t="inlineStr">
        <is>
          <t>Aug</t>
        </is>
      </c>
      <c r="C12" s="30">
        <f>COUNTIFS('Pipeline'!$A$2:$A$13,"&gt;="&amp;$A12,'Pipeline'!$A$2:$A$13,"&lt;"&amp;DATE(YEAR($A12),MONTH($A12)+1,1))</f>
        <v/>
      </c>
      <c r="D12" s="30">
        <f>COUNTIFS('Pipeline'!$I$2:$I$13,"&gt;="&amp;$A12,'Pipeline'!$I$2:$I$13,"&lt;"&amp;DATE(YEAR($A12),MONTH($A12)+1,1))</f>
        <v/>
      </c>
      <c r="E12" s="31">
        <f>SUMIFS('Pipeline'!$G$2:$G$13,'Pipeline'!$I$2:$I$13,"&gt;="&amp;$A12,'Pipeline'!$I$2:$I$13,"&lt;"&amp;DATE(YEAR($A12),MONTH($A12)+1,1))</f>
        <v/>
      </c>
      <c r="F12" s="30">
        <f>COUNTIFS('Pipeline'!$H$2:$H$13,"Won",'Pipeline'!$K$2:$K$13,"&gt;="&amp;$A12,'Pipeline'!$K$2:$K$13,"&lt;"&amp;DATE(YEAR($A12),MONTH($A12)+1,1))</f>
        <v/>
      </c>
      <c r="G12" s="31">
        <f>SUMIFS('Pipeline'!$G$2:$G$13,'Pipeline'!$H$2:$H$13,"Won",'Pipeline'!$K$2:$K$13,"&gt;="&amp;$A12,'Pipeline'!$K$2:$K$13,"&lt;"&amp;DATE(YEAR($A12),MONTH($A12)+1,1))</f>
        <v/>
      </c>
      <c r="H12" s="30">
        <f>COUNTIFS('Pipeline'!$H$2:$H$13,"Lost",'Pipeline'!$K$2:$K$13,"&gt;="&amp;$A12,'Pipeline'!$K$2:$K$13,"&lt;"&amp;DATE(YEAR($A12),MONTH($A12)+1,1))</f>
        <v/>
      </c>
      <c r="I12" s="32">
        <f>IF(F12+H12=0,"",F12/(F12+H12))</f>
        <v/>
      </c>
      <c r="J12" s="31">
        <f>IF(F12=0,"",G12/F12)</f>
        <v/>
      </c>
    </row>
    <row r="13">
      <c r="A13" s="28">
        <f>DATE(SelYear,9,1)</f>
        <v/>
      </c>
      <c r="B13" s="29" t="inlineStr">
        <is>
          <t>Sep</t>
        </is>
      </c>
      <c r="C13" s="30">
        <f>COUNTIFS('Pipeline'!$A$2:$A$13,"&gt;="&amp;$A13,'Pipeline'!$A$2:$A$13,"&lt;"&amp;DATE(YEAR($A13),MONTH($A13)+1,1))</f>
        <v/>
      </c>
      <c r="D13" s="30">
        <f>COUNTIFS('Pipeline'!$I$2:$I$13,"&gt;="&amp;$A13,'Pipeline'!$I$2:$I$13,"&lt;"&amp;DATE(YEAR($A13),MONTH($A13)+1,1))</f>
        <v/>
      </c>
      <c r="E13" s="31">
        <f>SUMIFS('Pipeline'!$G$2:$G$13,'Pipeline'!$I$2:$I$13,"&gt;="&amp;$A13,'Pipeline'!$I$2:$I$13,"&lt;"&amp;DATE(YEAR($A13),MONTH($A13)+1,1))</f>
        <v/>
      </c>
      <c r="F13" s="30">
        <f>COUNTIFS('Pipeline'!$H$2:$H$13,"Won",'Pipeline'!$K$2:$K$13,"&gt;="&amp;$A13,'Pipeline'!$K$2:$K$13,"&lt;"&amp;DATE(YEAR($A13),MONTH($A13)+1,1))</f>
        <v/>
      </c>
      <c r="G13" s="31">
        <f>SUMIFS('Pipeline'!$G$2:$G$13,'Pipeline'!$H$2:$H$13,"Won",'Pipeline'!$K$2:$K$13,"&gt;="&amp;$A13,'Pipeline'!$K$2:$K$13,"&lt;"&amp;DATE(YEAR($A13),MONTH($A13)+1,1))</f>
        <v/>
      </c>
      <c r="H13" s="30">
        <f>COUNTIFS('Pipeline'!$H$2:$H$13,"Lost",'Pipeline'!$K$2:$K$13,"&gt;="&amp;$A13,'Pipeline'!$K$2:$K$13,"&lt;"&amp;DATE(YEAR($A13),MONTH($A13)+1,1))</f>
        <v/>
      </c>
      <c r="I13" s="32">
        <f>IF(F13+H13=0,"",F13/(F13+H13))</f>
        <v/>
      </c>
      <c r="J13" s="31">
        <f>IF(F13=0,"",G13/F13)</f>
        <v/>
      </c>
    </row>
    <row r="14">
      <c r="A14" s="28">
        <f>DATE(SelYear,10,1)</f>
        <v/>
      </c>
      <c r="B14" s="29" t="inlineStr">
        <is>
          <t>Oct</t>
        </is>
      </c>
      <c r="C14" s="30">
        <f>COUNTIFS('Pipeline'!$A$2:$A$13,"&gt;="&amp;$A14,'Pipeline'!$A$2:$A$13,"&lt;"&amp;DATE(YEAR($A14),MONTH($A14)+1,1))</f>
        <v/>
      </c>
      <c r="D14" s="30">
        <f>COUNTIFS('Pipeline'!$I$2:$I$13,"&gt;="&amp;$A14,'Pipeline'!$I$2:$I$13,"&lt;"&amp;DATE(YEAR($A14),MONTH($A14)+1,1))</f>
        <v/>
      </c>
      <c r="E14" s="31">
        <f>SUMIFS('Pipeline'!$G$2:$G$13,'Pipeline'!$I$2:$I$13,"&gt;="&amp;$A14,'Pipeline'!$I$2:$I$13,"&lt;"&amp;DATE(YEAR($A14),MONTH($A14)+1,1))</f>
        <v/>
      </c>
      <c r="F14" s="30">
        <f>COUNTIFS('Pipeline'!$H$2:$H$13,"Won",'Pipeline'!$K$2:$K$13,"&gt;="&amp;$A14,'Pipeline'!$K$2:$K$13,"&lt;"&amp;DATE(YEAR($A14),MONTH($A14)+1,1))</f>
        <v/>
      </c>
      <c r="G14" s="31">
        <f>SUMIFS('Pipeline'!$G$2:$G$13,'Pipeline'!$H$2:$H$13,"Won",'Pipeline'!$K$2:$K$13,"&gt;="&amp;$A14,'Pipeline'!$K$2:$K$13,"&lt;"&amp;DATE(YEAR($A14),MONTH($A14)+1,1))</f>
        <v/>
      </c>
      <c r="H14" s="30">
        <f>COUNTIFS('Pipeline'!$H$2:$H$13,"Lost",'Pipeline'!$K$2:$K$13,"&gt;="&amp;$A14,'Pipeline'!$K$2:$K$13,"&lt;"&amp;DATE(YEAR($A14),MONTH($A14)+1,1))</f>
        <v/>
      </c>
      <c r="I14" s="32">
        <f>IF(F14+H14=0,"",F14/(F14+H14))</f>
        <v/>
      </c>
      <c r="J14" s="31">
        <f>IF(F14=0,"",G14/F14)</f>
        <v/>
      </c>
    </row>
    <row r="15">
      <c r="A15" s="28">
        <f>DATE(SelYear,11,1)</f>
        <v/>
      </c>
      <c r="B15" s="29" t="inlineStr">
        <is>
          <t>Nov</t>
        </is>
      </c>
      <c r="C15" s="30">
        <f>COUNTIFS('Pipeline'!$A$2:$A$13,"&gt;="&amp;$A15,'Pipeline'!$A$2:$A$13,"&lt;"&amp;DATE(YEAR($A15),MONTH($A15)+1,1))</f>
        <v/>
      </c>
      <c r="D15" s="30">
        <f>COUNTIFS('Pipeline'!$I$2:$I$13,"&gt;="&amp;$A15,'Pipeline'!$I$2:$I$13,"&lt;"&amp;DATE(YEAR($A15),MONTH($A15)+1,1))</f>
        <v/>
      </c>
      <c r="E15" s="31">
        <f>SUMIFS('Pipeline'!$G$2:$G$13,'Pipeline'!$I$2:$I$13,"&gt;="&amp;$A15,'Pipeline'!$I$2:$I$13,"&lt;"&amp;DATE(YEAR($A15),MONTH($A15)+1,1))</f>
        <v/>
      </c>
      <c r="F15" s="30">
        <f>COUNTIFS('Pipeline'!$H$2:$H$13,"Won",'Pipeline'!$K$2:$K$13,"&gt;="&amp;$A15,'Pipeline'!$K$2:$K$13,"&lt;"&amp;DATE(YEAR($A15),MONTH($A15)+1,1))</f>
        <v/>
      </c>
      <c r="G15" s="31">
        <f>SUMIFS('Pipeline'!$G$2:$G$13,'Pipeline'!$H$2:$H$13,"Won",'Pipeline'!$K$2:$K$13,"&gt;="&amp;$A15,'Pipeline'!$K$2:$K$13,"&lt;"&amp;DATE(YEAR($A15),MONTH($A15)+1,1))</f>
        <v/>
      </c>
      <c r="H15" s="30">
        <f>COUNTIFS('Pipeline'!$H$2:$H$13,"Lost",'Pipeline'!$K$2:$K$13,"&gt;="&amp;$A15,'Pipeline'!$K$2:$K$13,"&lt;"&amp;DATE(YEAR($A15),MONTH($A15)+1,1))</f>
        <v/>
      </c>
      <c r="I15" s="32">
        <f>IF(F15+H15=0,"",F15/(F15+H15))</f>
        <v/>
      </c>
      <c r="J15" s="31">
        <f>IF(F15=0,"",G15/F15)</f>
        <v/>
      </c>
    </row>
    <row r="16">
      <c r="A16" s="28">
        <f>DATE(SelYear,12,1)</f>
        <v/>
      </c>
      <c r="B16" s="29" t="inlineStr">
        <is>
          <t>Dec</t>
        </is>
      </c>
      <c r="C16" s="30">
        <f>COUNTIFS('Pipeline'!$A$2:$A$13,"&gt;="&amp;$A16,'Pipeline'!$A$2:$A$13,"&lt;"&amp;DATE(YEAR($A16),MONTH($A16)+1,1))</f>
        <v/>
      </c>
      <c r="D16" s="30">
        <f>COUNTIFS('Pipeline'!$I$2:$I$13,"&gt;="&amp;$A16,'Pipeline'!$I$2:$I$13,"&lt;"&amp;DATE(YEAR($A16),MONTH($A16)+1,1))</f>
        <v/>
      </c>
      <c r="E16" s="31">
        <f>SUMIFS('Pipeline'!$G$2:$G$13,'Pipeline'!$I$2:$I$13,"&gt;="&amp;$A16,'Pipeline'!$I$2:$I$13,"&lt;"&amp;DATE(YEAR($A16),MONTH($A16)+1,1))</f>
        <v/>
      </c>
      <c r="F16" s="30">
        <f>COUNTIFS('Pipeline'!$H$2:$H$13,"Won",'Pipeline'!$K$2:$K$13,"&gt;="&amp;$A16,'Pipeline'!$K$2:$K$13,"&lt;"&amp;DATE(YEAR($A16),MONTH($A16)+1,1))</f>
        <v/>
      </c>
      <c r="G16" s="31">
        <f>SUMIFS('Pipeline'!$G$2:$G$13,'Pipeline'!$H$2:$H$13,"Won",'Pipeline'!$K$2:$K$13,"&gt;="&amp;$A16,'Pipeline'!$K$2:$K$13,"&lt;"&amp;DATE(YEAR($A16),MONTH($A16)+1,1))</f>
        <v/>
      </c>
      <c r="H16" s="30">
        <f>COUNTIFS('Pipeline'!$H$2:$H$13,"Lost",'Pipeline'!$K$2:$K$13,"&gt;="&amp;$A16,'Pipeline'!$K$2:$K$13,"&lt;"&amp;DATE(YEAR($A16),MONTH($A16)+1,1))</f>
        <v/>
      </c>
      <c r="I16" s="32">
        <f>IF(F16+H16=0,"",F16/(F16+H16))</f>
        <v/>
      </c>
      <c r="J16" s="31">
        <f>IF(F16=0,"",G16/F16)</f>
        <v/>
      </c>
    </row>
    <row r="17">
      <c r="B17" s="29" t="inlineStr">
        <is>
          <t>Year</t>
        </is>
      </c>
      <c r="C17" s="33">
        <f>SUM(C5:C16)</f>
        <v/>
      </c>
      <c r="D17" s="33">
        <f>SUM(D5:D16)</f>
        <v/>
      </c>
      <c r="E17" s="34">
        <f>SUM(E5:E16)</f>
        <v/>
      </c>
      <c r="F17" s="33">
        <f>SUM(F5:F16)</f>
        <v/>
      </c>
      <c r="G17" s="34">
        <f>SUM(G5:G16)</f>
        <v/>
      </c>
      <c r="H17" s="33">
        <f>SUM(H5:H16)</f>
        <v/>
      </c>
      <c r="I17" s="35">
        <f>IF(F17+H17=0,"",F17/(F17+H17))</f>
        <v/>
      </c>
      <c r="J17" s="34">
        <f>IF(F17=0,"",G17/F17)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16" customWidth="1" min="4" max="4"/>
    <col width="3" customWidth="1" min="5" max="5"/>
    <col width="18" customWidth="1" min="6" max="6"/>
    <col width="3" customWidth="1" min="7" max="7"/>
  </cols>
  <sheetData>
    <row r="1">
      <c r="A1" s="1" t="inlineStr">
        <is>
          <t>Settings</t>
        </is>
      </c>
    </row>
    <row r="2">
      <c r="A2" s="3" t="inlineStr">
        <is>
          <t>Yellow cells and lists: change them to suit your business. Grey lists are fixed: the formulas depend on these words, so do not rename them.</t>
        </is>
      </c>
    </row>
    <row r="3">
      <c r="D3" s="36" t="inlineStr">
        <is>
          <t>Stages  (fixed)</t>
        </is>
      </c>
      <c r="F3" s="36" t="inlineStr">
        <is>
          <t>Enquiry sources</t>
        </is>
      </c>
    </row>
    <row r="4">
      <c r="A4" s="19" t="inlineStr">
        <is>
          <t>General</t>
        </is>
      </c>
      <c r="B4" s="19" t="inlineStr">
        <is>
          <t>Value</t>
        </is>
      </c>
      <c r="D4" s="19" t="inlineStr">
        <is>
          <t>Stage</t>
        </is>
      </c>
      <c r="F4" s="19" t="inlineStr">
        <is>
          <t>Source</t>
        </is>
      </c>
    </row>
    <row r="5">
      <c r="A5" s="20" t="inlineStr">
        <is>
          <t>Business name</t>
        </is>
      </c>
      <c r="B5" s="37" t="inlineStr">
        <is>
          <t>Your business</t>
        </is>
      </c>
      <c r="D5" s="38" t="inlineStr">
        <is>
          <t>New</t>
        </is>
      </c>
      <c r="F5" s="39" t="inlineStr">
        <is>
          <t>Website</t>
        </is>
      </c>
    </row>
    <row r="6">
      <c r="A6" s="20" t="inlineStr">
        <is>
          <t>Year shown in summaries</t>
        </is>
      </c>
      <c r="B6" s="40" t="n">
        <v>2027</v>
      </c>
      <c r="D6" s="38" t="inlineStr">
        <is>
          <t>Contacted</t>
        </is>
      </c>
      <c r="F6" s="39" t="inlineStr">
        <is>
          <t>Referral</t>
        </is>
      </c>
    </row>
    <row r="7">
      <c r="D7" s="38" t="inlineStr">
        <is>
          <t>Quoted</t>
        </is>
      </c>
      <c r="F7" s="39" t="inlineStr">
        <is>
          <t>Instagram</t>
        </is>
      </c>
    </row>
    <row r="8">
      <c r="D8" s="38" t="inlineStr">
        <is>
          <t>Won</t>
        </is>
      </c>
      <c r="F8" s="39" t="inlineStr">
        <is>
          <t>Facebook</t>
        </is>
      </c>
    </row>
    <row r="9">
      <c r="D9" s="38" t="inlineStr">
        <is>
          <t>Lost</t>
        </is>
      </c>
      <c r="F9" s="39" t="inlineStr">
        <is>
          <t>Google</t>
        </is>
      </c>
    </row>
    <row r="10">
      <c r="F10" s="39" t="inlineStr">
        <is>
          <t>Phone</t>
        </is>
      </c>
    </row>
    <row r="11">
      <c r="F11" s="39" t="inlineStr">
        <is>
          <t>Walk-in</t>
        </is>
      </c>
    </row>
    <row r="12">
      <c r="F12" s="39" t="inlineStr">
        <is>
          <t>Other</t>
        </is>
      </c>
    </row>
    <row r="13">
      <c r="F13" s="41" t="n"/>
    </row>
    <row r="14">
      <c r="F14" s="41" t="n"/>
    </row>
    <row r="15">
      <c r="F15" s="41" t="n"/>
    </row>
    <row r="16">
      <c r="F16" s="41" t="n"/>
    </row>
    <row r="17">
      <c r="F17" s="41" t="n"/>
    </row>
    <row r="18">
      <c r="F18" s="41" t="n"/>
    </row>
    <row r="19">
      <c r="F19" s="41" t="n"/>
    </row>
    <row r="20">
      <c r="F20" s="41" t="n"/>
    </row>
    <row r="21">
      <c r="F21" s="41" t="n"/>
    </row>
    <row r="22">
      <c r="F22" s="41" t="n"/>
    </row>
    <row r="23">
      <c r="F23" s="41" t="n"/>
    </row>
    <row r="24">
      <c r="F24" s="41" t="n"/>
    </row>
    <row r="25">
      <c r="F25" s="41" t="n"/>
    </row>
    <row r="26">
      <c r="F26" s="41" t="n"/>
    </row>
    <row r="27">
      <c r="F27" s="41" t="n"/>
    </row>
    <row r="28">
      <c r="F28" s="41" t="n"/>
    </row>
    <row r="29">
      <c r="F29" s="41" t="n"/>
    </row>
    <row r="30">
      <c r="F30" s="41" t="n"/>
    </row>
    <row r="31">
      <c r="F31" s="41" t="n"/>
    </row>
    <row r="32">
      <c r="F32" s="41" t="n"/>
    </row>
    <row r="33">
      <c r="F33" s="41" t="n"/>
    </row>
    <row r="34">
      <c r="F34" s="4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RotaVoo</dc:creator>
  <dc:title>Sales and Quotes Tracker (preview)</dc:title>
  <dcterms:created xsi:type="dcterms:W3CDTF">2026-11-01T09:38:32Z</dcterms:created>
  <dcterms:modified xsi:type="dcterms:W3CDTF">2026-11-01T09:38:32Z</dcterms:modified>
</cp:coreProperties>
</file>