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Painel de vendas" sheetId="2" state="visible" r:id="rId2"/>
    <sheet name="Oportunidades" sheetId="3" state="visible" r:id="rId3"/>
    <sheet name="Vendas por mês" sheetId="4" state="visible" r:id="rId4"/>
    <sheet name="Definições" sheetId="5" state="visible" r:id="rId5"/>
  </sheets>
  <definedNames>
    <definedName name="BizName">'Definições'!$B$5</definedName>
    <definedName name="SelYear">'Definições'!$B$6</definedName>
    <definedName name="StageList">'Definições'!$D$5:$D$9</definedName>
    <definedName name="SourceList">'Definições'!$F$5:$F$34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 &quot;€&quot;;-#,##0.00 &quot;€&quot;;&quot;–&quot;"/>
    <numFmt numFmtId="167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17191C"/>
      <sz val="16"/>
    </font>
    <font>
      <name val="Arial"/>
      <color rgb="0062666B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7191C"/>
      <sz val="10"/>
    </font>
    <font>
      <name val="Arial"/>
      <color rgb="0062666B"/>
      <sz val="8"/>
    </font>
    <font>
      <name val="Arial"/>
      <i val="1"/>
      <color rgb="0062666B"/>
      <sz val="10"/>
    </font>
    <font>
      <name val="Arial"/>
      <b val="1"/>
      <color rgb="0017191C"/>
      <sz val="12"/>
    </font>
    <font>
      <name val="Arial"/>
      <color rgb="0062666B"/>
      <sz val="9"/>
    </font>
    <font>
      <name val="Arial"/>
      <b val="1"/>
      <color rgb="0017191C"/>
      <sz val="18"/>
    </font>
    <font>
      <name val="Arial"/>
      <b val="1"/>
      <color rgb="0017191C"/>
      <sz val="20"/>
    </font>
    <font>
      <name val="Arial"/>
      <b val="1"/>
      <color rgb="00009C45"/>
      <sz val="12"/>
    </font>
  </fonts>
  <fills count="9">
    <fill>
      <patternFill/>
    </fill>
    <fill>
      <patternFill patternType="gray125"/>
    </fill>
    <fill>
      <patternFill patternType="solid">
        <fgColor rgb="0017191C"/>
        <bgColor rgb="0017191C"/>
      </patternFill>
    </fill>
    <fill>
      <patternFill patternType="solid">
        <fgColor rgb="00FFF4D6"/>
        <bgColor rgb="00FFF4D6"/>
      </patternFill>
    </fill>
    <fill>
      <patternFill patternType="solid">
        <fgColor rgb="00E3E6E8"/>
        <bgColor rgb="00E3E6E8"/>
      </patternFill>
    </fill>
    <fill>
      <patternFill patternType="solid">
        <fgColor rgb="00FFFFFF"/>
        <bgColor rgb="00FFFFFF"/>
      </patternFill>
    </fill>
    <fill>
      <patternFill patternType="solid">
        <fgColor rgb="00EAF6EF"/>
        <bgColor rgb="00EAF6EF"/>
      </patternFill>
    </fill>
    <fill>
      <patternFill patternType="solid">
        <fgColor rgb="00F5F6F7"/>
        <bgColor rgb="00F5F6F7"/>
      </patternFill>
    </fill>
    <fill>
      <patternFill patternType="solid">
        <fgColor rgb="00009C45"/>
        <bgColor rgb="00009C45"/>
      </patternFill>
    </fill>
  </fills>
  <borders count="3">
    <border>
      <left/>
      <right/>
      <top/>
      <bottom/>
      <diagonal/>
    </border>
    <border>
      <bottom style="thin">
        <color rgb="00D6DEDB"/>
      </bottom>
    </border>
    <border>
      <left style="thin">
        <color rgb="00D6DEDB"/>
      </left>
      <right style="thin">
        <color rgb="00D6DEDB"/>
      </right>
      <top style="thin">
        <color rgb="00D6DEDB"/>
      </top>
      <bottom style="thin">
        <color rgb="00D6DEDB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12" fillId="0" borderId="0" pivotButton="0" quotePrefix="0" xfId="0"/>
    <xf numFmtId="0" fontId="2" fillId="0" borderId="0" pivotButton="0" quotePrefix="0" xfId="0"/>
    <xf numFmtId="0" fontId="3" fillId="8" borderId="0" pivotButton="0" quotePrefix="0" xfId="0"/>
    <xf numFmtId="0" fontId="6" fillId="6" borderId="0" applyAlignment="1" pivotButton="0" quotePrefix="0" xfId="0">
      <alignment vertical="top" wrapText="1"/>
    </xf>
    <xf numFmtId="0" fontId="13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5" fillId="6" borderId="2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7" borderId="0" pivotButton="0" quotePrefix="0" xfId="0"/>
    <xf numFmtId="166" fontId="11" fillId="7" borderId="0" applyAlignment="1" pivotButton="0" quotePrefix="0" xfId="0">
      <alignment horizontal="left"/>
    </xf>
    <xf numFmtId="1" fontId="11" fillId="7" borderId="0" applyAlignment="1" pivotButton="0" quotePrefix="0" xfId="0">
      <alignment horizontal="left"/>
    </xf>
    <xf numFmtId="167" fontId="11" fillId="7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1" fontId="4" fillId="0" borderId="1" pivotButton="0" quotePrefix="0" xfId="0"/>
    <xf numFmtId="166" fontId="4" fillId="0" borderId="1" pivotButton="0" quotePrefix="0" xfId="0"/>
    <xf numFmtId="165" fontId="4" fillId="0" borderId="0" pivotButton="0" quotePrefix="0" xfId="0"/>
    <xf numFmtId="0" fontId="4" fillId="0" borderId="0" pivotButton="0" quotePrefix="0" xfId="0"/>
    <xf numFmtId="166" fontId="4" fillId="0" borderId="0" pivotButton="0" quotePrefix="0" xfId="0"/>
    <xf numFmtId="1" fontId="4" fillId="6" borderId="0" pivotButton="0" quotePrefix="0" xfId="0"/>
    <xf numFmtId="0" fontId="4" fillId="6" borderId="0" pivotButton="0" quotePrefix="0" xfId="0"/>
    <xf numFmtId="165" fontId="7" fillId="0" borderId="0" pivotButton="0" quotePrefix="0" xfId="0"/>
    <xf numFmtId="0" fontId="5" fillId="0" borderId="0" pivotButton="0" quotePrefix="0" xfId="0"/>
    <xf numFmtId="1" fontId="4" fillId="6" borderId="1" pivotButton="0" quotePrefix="0" xfId="0"/>
    <xf numFmtId="166" fontId="4" fillId="6" borderId="1" pivotButton="0" quotePrefix="0" xfId="0"/>
    <xf numFmtId="167" fontId="4" fillId="6" borderId="1" pivotButton="0" quotePrefix="0" xfId="0"/>
    <xf numFmtId="1" fontId="5" fillId="6" borderId="1" pivotButton="0" quotePrefix="0" xfId="0"/>
    <xf numFmtId="166" fontId="5" fillId="6" borderId="1" pivotButton="0" quotePrefix="0" xfId="0"/>
    <xf numFmtId="167" fontId="5" fillId="6" borderId="1" pivotButton="0" quotePrefix="0" xfId="0"/>
    <xf numFmtId="0" fontId="6" fillId="0" borderId="0" pivotButton="0" quotePrefix="0" xfId="0"/>
    <xf numFmtId="0" fontId="5" fillId="3" borderId="2" pivotButton="0" quotePrefix="0" xfId="0"/>
    <xf numFmtId="0" fontId="4" fillId="4" borderId="2" pivotButton="0" quotePrefix="0" xfId="0"/>
    <xf numFmtId="0" fontId="4" fillId="3" borderId="2" pivotButton="0" quotePrefix="0" xfId="0"/>
    <xf numFmtId="1" fontId="5" fillId="3" borderId="2" pivotButton="0" quotePrefix="0" xfId="0"/>
    <xf numFmtId="0" fontId="4" fillId="5" borderId="2" pivotButton="0" quotePrefix="0" xfId="0"/>
  </cellXfs>
  <cellStyles count="1">
    <cellStyle name="Normal" xfId="0" builtinId="0" hidden="0"/>
  </cellStyles>
  <dxfs count="4">
    <dxf>
      <font>
        <b val="1"/>
        <color rgb="00B23A32"/>
      </font>
      <fill>
        <patternFill patternType="solid">
          <fgColor rgb="00F8DEDB"/>
          <bgColor rgb="00F8DEDB"/>
        </patternFill>
      </fill>
    </dxf>
    <dxf>
      <font>
        <b val="1"/>
        <color rgb="009A6400"/>
      </font>
      <fill>
        <patternFill patternType="solid">
          <fgColor rgb="00FBEFCF"/>
          <bgColor rgb="00FBEFCF"/>
        </patternFill>
      </fill>
    </dxf>
    <dxf>
      <font>
        <b val="1"/>
        <color rgb="001F7A45"/>
      </font>
      <fill>
        <patternFill patternType="solid">
          <fgColor rgb="00DDF1E4"/>
          <bgColor rgb="00DDF1E4"/>
        </patternFill>
      </fill>
    </dxf>
    <dxf>
      <font>
        <b val="1"/>
        <color rgb="0062666B"/>
      </font>
      <fill>
        <patternFill patternType="solid">
          <fgColor rgb="00F5F6F7"/>
          <bgColor rgb="00F5F6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Valor ganho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'Vendas por mês'!G4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'Vendas por mês'!$B$5:$B$16</f>
            </numRef>
          </cat>
          <val>
            <numRef>
              <f>'Vendas por mês'!$G$5:$G$16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RotaVoo</author>
  </authors>
  <commentList>
    <comment ref="B6" authorId="0" shapeId="0">
      <text>
        <t>Todos os resumos mensais usam este ano.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ipeline" displayName="Pipeline" ref="A1:N13" headerRowCount="1">
  <autoFilter ref="A1:N13"/>
  <tableColumns count="14">
    <tableColumn id="1" name="Data do pedido"/>
    <tableColumn id="2" name="Cliente"/>
    <tableColumn id="3" name="Pessoa de contacto"/>
    <tableColumn id="4" name="Telefone ou email"/>
    <tableColumn id="5" name="Origem"/>
    <tableColumn id="6" name="Produto ou serviço"/>
    <tableColumn id="7" name="Valor do orçamento €"/>
    <tableColumn id="8" name="Fase"/>
    <tableColumn id="9" name="Orçamento enviado"/>
    <tableColumn id="10" name="Próximo seguimento"/>
    <tableColumn id="11" name="Data de fecho (ganho ou perdido)"/>
    <tableColumn id="12" name="Notas"/>
    <tableColumn id="13" name="Dias em aberto"/>
    <tableColumn id="14" name="Estado do seguimento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009C45"/>
    <outlinePr summaryBelow="1" summaryRight="1"/>
    <pageSetUpPr/>
  </sheetPr>
  <dimension ref="A1:C3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0" customWidth="1" min="3" max="3"/>
  </cols>
  <sheetData>
    <row r="1">
      <c r="A1" s="1" t="n"/>
      <c r="B1" s="2" t="inlineStr">
        <is>
          <t>Controlo de Vendas e Orçamentos</t>
        </is>
      </c>
    </row>
    <row r="2">
      <c r="B2" s="3" t="inlineStr">
        <is>
          <t>RotaVoo · Pedidos, orçamentos, seguimentos e vendas por mês.</t>
        </is>
      </c>
    </row>
    <row r="4" ht="30" customHeight="1">
      <c r="B4" s="4" t="inlineStr">
        <is>
          <t>PRÉ-VISUALIZAÇÃO</t>
        </is>
      </c>
      <c r="C4" s="5" t="inlineStr">
        <is>
          <t>Pré-visualização gratuita com 12 linhas de exemplo, só de leitura. A ferramenta completa (1000 linhas por folha, pronta para os seus dados) está em rotavoo.pt.</t>
        </is>
      </c>
    </row>
    <row r="6">
      <c r="B6" s="6" t="inlineStr">
        <is>
          <t>Como começar</t>
        </is>
      </c>
    </row>
    <row r="7">
      <c r="B7" s="7" t="inlineStr">
        <is>
          <t>1.</t>
        </is>
      </c>
      <c r="C7" s="8" t="inlineStr">
        <is>
          <t>Abra as Definições. Introduza o nome da empresa e o ano. Substitua as listas de exemplo (equipa, categorias, origens) pelas suas.</t>
        </is>
      </c>
    </row>
    <row r="8">
      <c r="B8" s="7" t="inlineStr">
        <is>
          <t>2.</t>
        </is>
      </c>
      <c r="C8" s="8" t="inlineStr">
        <is>
          <t>As folhas de dados têm linhas de exemplo fictícias para ver como tudo funciona. Selecione-as e carregue em Delete para limpar as células brancas. Não apague as colunas verdes.</t>
        </is>
      </c>
    </row>
    <row r="9">
      <c r="B9" s="7" t="inlineStr">
        <is>
          <t>3.</t>
        </is>
      </c>
      <c r="C9" s="8" t="inlineStr">
        <is>
          <t>Adicione uma linha por registo. Use as listas pendentes onde aparecem.</t>
        </is>
      </c>
    </row>
    <row r="10">
      <c r="B10" s="7" t="inlineStr">
        <is>
          <t>4.</t>
        </is>
      </c>
      <c r="C10" s="8" t="inlineStr">
        <is>
          <t>Abra o painel sempre que quiser ver a situação atual. Tudo é recalculado automaticamente.</t>
        </is>
      </c>
    </row>
    <row r="12">
      <c r="B12" s="6" t="inlineStr">
        <is>
          <t>Guia de cores</t>
        </is>
      </c>
    </row>
    <row r="13">
      <c r="B13" s="9" t="inlineStr">
        <is>
          <t>Célula branca</t>
        </is>
      </c>
      <c r="C13" s="8" t="inlineStr">
        <is>
          <t>Escreva aqui.</t>
        </is>
      </c>
    </row>
    <row r="14">
      <c r="B14" s="10" t="inlineStr">
        <is>
          <t>Célula verde</t>
        </is>
      </c>
      <c r="C14" s="8" t="inlineStr">
        <is>
          <t>Calculada automaticamente. Não escreva por cima.</t>
        </is>
      </c>
    </row>
    <row r="15">
      <c r="B15" s="11" t="inlineStr">
        <is>
          <t>Célula amarela</t>
        </is>
      </c>
      <c r="C15" s="8" t="inlineStr">
        <is>
          <t>Uma definição que pode alterar.</t>
        </is>
      </c>
    </row>
    <row r="16">
      <c r="B16" s="12" t="inlineStr">
        <is>
          <t>Lista cinzenta</t>
        </is>
      </c>
      <c r="C16" s="8" t="inlineStr">
        <is>
          <t>Palavras fixas usadas pelas fórmulas. Não altere.</t>
        </is>
      </c>
    </row>
    <row r="18">
      <c r="B18" s="6" t="inlineStr">
        <is>
          <t>O que contém este ficheiro</t>
        </is>
      </c>
    </row>
    <row r="19">
      <c r="B19" s="7" t="inlineStr">
        <is>
          <t>Painel de vendas</t>
        </is>
      </c>
      <c r="C19" s="8" t="inlineStr">
        <is>
          <t>Valor em aberto, seguimentos, valor ganho, taxa de sucesso, resultados por origem e fase.</t>
        </is>
      </c>
    </row>
    <row r="20">
      <c r="B20" s="7" t="inlineStr">
        <is>
          <t>Oportunidades</t>
        </is>
      </c>
      <c r="C20" s="8" t="inlineStr">
        <is>
          <t>Uma linha por pedido. Avance-o pelas fases e marque o próximo seguimento.</t>
        </is>
      </c>
    </row>
    <row r="21">
      <c r="B21" s="7" t="inlineStr">
        <is>
          <t>Vendas por mês</t>
        </is>
      </c>
      <c r="C21" s="8" t="inlineStr">
        <is>
          <t>Pedidos, orçamentos, ganhos, perdas e taxa de sucesso por mês.</t>
        </is>
      </c>
    </row>
    <row r="22">
      <c r="B22" s="7" t="inlineStr">
        <is>
          <t>Definições</t>
        </is>
      </c>
      <c r="C22" s="8" t="inlineStr">
        <is>
          <t>Nome, ano, listas e valores usados em todas as folhas.</t>
        </is>
      </c>
    </row>
    <row r="24">
      <c r="B24" s="6" t="inlineStr">
        <is>
          <t>Bom saber</t>
        </is>
      </c>
    </row>
    <row r="25">
      <c r="B25" s="7" t="inlineStr">
        <is>
          <t>Capacidade</t>
        </is>
      </c>
      <c r="C25" s="8" t="inlineStr">
        <is>
          <t>Cada folha de dados está pronta para 1000 linhas. Para mais, copie a última linha para baixo: as fórmulas verdes acompanham.</t>
        </is>
      </c>
    </row>
    <row r="26">
      <c r="B26" s="7" t="inlineStr">
        <is>
          <t>Google Sheets</t>
        </is>
      </c>
      <c r="C26" s="8" t="inlineStr">
        <is>
          <t>Carregue o ficheiro no Google Drive e escolha Abrir com o Google Sheets. Fórmulas, listas e gráficos mantêm-se.</t>
        </is>
      </c>
    </row>
    <row r="27">
      <c r="B27" s="7" t="inlineStr">
        <is>
          <t>Datas</t>
        </is>
      </c>
      <c r="C27" s="8" t="inlineStr">
        <is>
          <t>Introduza datas como dia/mês/ano e horas como hh:mm.</t>
        </is>
      </c>
    </row>
    <row r="28">
      <c r="B28" s="7" t="inlineStr">
        <is>
          <t>Não é software certificado</t>
        </is>
      </c>
      <c r="C28" s="8" t="inlineStr">
        <is>
          <t>É uma ferramenta de gestão. Não emite faturas: em Portugal as faturas têm de ser emitidas por software certificado. Não é software de salários nem de declarações fiscais.</t>
        </is>
      </c>
    </row>
    <row r="30">
      <c r="B30" s="13" t="inlineStr">
        <is>
          <t>Precisa de a adaptar ao seu processo? A RotaVoo pode personalizar esta ferramenta.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Painel de vendas</t>
        </is>
      </c>
    </row>
    <row r="2">
      <c r="A2" s="3">
        <f>BizName&amp;" · Ano "&amp;SelYear</f>
        <v/>
      </c>
    </row>
    <row r="3">
      <c r="A3" s="13" t="inlineStr">
        <is>
          <t>Atualiza automaticamente a partir das Oportunidades.</t>
        </is>
      </c>
    </row>
    <row r="5">
      <c r="B5" s="14" t="inlineStr">
        <is>
          <t>Oportunidades hoje</t>
        </is>
      </c>
    </row>
    <row r="6">
      <c r="B6" s="15" t="inlineStr">
        <is>
          <t>Valor em aberto</t>
        </is>
      </c>
      <c r="D6" s="15" t="inlineStr">
        <is>
          <t>Oportunidades em aberto</t>
        </is>
      </c>
      <c r="F6" s="15" t="inlineStr">
        <is>
          <t>Seguimentos atrasados</t>
        </is>
      </c>
      <c r="H6" s="15" t="inlineStr">
        <is>
          <t>Seguimentos para hoje</t>
        </is>
      </c>
    </row>
    <row r="7">
      <c r="B7" s="16">
        <f>SUMIFS('Oportunidades'!$G$2:$G$13,'Oportunidades'!$H$2:$H$13,"Novo")+SUMIFS('Oportunidades'!$G$2:$G$13,'Oportunidades'!$H$2:$H$13,"Contactado")+SUMIFS('Oportunidades'!$G$2:$G$13,'Oportunidades'!$H$2:$H$13,"Orçamentado")</f>
        <v/>
      </c>
      <c r="D7" s="17">
        <f>COUNTIF('Oportunidades'!$H$2:$H$13,"Novo")+COUNTIF('Oportunidades'!$H$2:$H$13,"Contactado")+COUNTIF('Oportunidades'!$H$2:$H$13,"Orçamentado")</f>
        <v/>
      </c>
      <c r="F7" s="17">
        <f>COUNTIF('Oportunidades'!$N$2:$N$13,"Atrasado")</f>
        <v/>
      </c>
      <c r="H7" s="17">
        <f>COUNTIF('Oportunidades'!$N$2:$N$13,"Hoje")</f>
        <v/>
      </c>
    </row>
    <row r="9">
      <c r="B9" s="14" t="inlineStr">
        <is>
          <t>Este ano</t>
        </is>
      </c>
    </row>
    <row r="10">
      <c r="B10" s="15" t="inlineStr">
        <is>
          <t>Valor ganho</t>
        </is>
      </c>
      <c r="D10" s="15" t="inlineStr">
        <is>
          <t>Negócios ganhos</t>
        </is>
      </c>
      <c r="F10" s="15" t="inlineStr">
        <is>
          <t>Taxa de sucesso</t>
        </is>
      </c>
      <c r="H10" s="15" t="inlineStr">
        <is>
          <t>Negócio médio ganho</t>
        </is>
      </c>
    </row>
    <row r="11">
      <c r="B11" s="16">
        <f>'Vendas por mês'!G17</f>
        <v/>
      </c>
      <c r="D11" s="17">
        <f>'Vendas por mês'!F17</f>
        <v/>
      </c>
      <c r="F11" s="18">
        <f>'Vendas por mês'!I17</f>
        <v/>
      </c>
      <c r="H11" s="16">
        <f>'Vendas por mês'!J17</f>
        <v/>
      </c>
    </row>
    <row r="13">
      <c r="B13" s="14" t="inlineStr">
        <is>
          <t>Por origem (total)</t>
        </is>
      </c>
    </row>
    <row r="14">
      <c r="B14" s="19" t="inlineStr">
        <is>
          <t>Origem</t>
        </is>
      </c>
      <c r="C14" s="19" t="inlineStr">
        <is>
          <t>Pedidos</t>
        </is>
      </c>
      <c r="D14" s="19" t="inlineStr">
        <is>
          <t>Valor ganho €</t>
        </is>
      </c>
    </row>
    <row r="15">
      <c r="B15" s="20">
        <f>IF(INDEX(SourceList,1)="","",INDEX(SourceList,1))</f>
        <v/>
      </c>
      <c r="C15" s="21">
        <f>IF(B15="","",COUNTIF('Oportunidades'!$E$2:$E$13,B15))</f>
        <v/>
      </c>
      <c r="D15" s="22">
        <f>IF(B15="","",SUMIFS('Oportunidades'!$G$2:$G$13,'Oportunidades'!$E$2:$E$13,B15,'Oportunidades'!$H$2:$H$13,"Ganho"))</f>
        <v/>
      </c>
    </row>
    <row r="16">
      <c r="B16" s="20">
        <f>IF(INDEX(SourceList,2)="","",INDEX(SourceList,2))</f>
        <v/>
      </c>
      <c r="C16" s="21">
        <f>IF(B16="","",COUNTIF('Oportunidades'!$E$2:$E$13,B16))</f>
        <v/>
      </c>
      <c r="D16" s="22">
        <f>IF(B16="","",SUMIFS('Oportunidades'!$G$2:$G$13,'Oportunidades'!$E$2:$E$13,B16,'Oportunidades'!$H$2:$H$13,"Ganho"))</f>
        <v/>
      </c>
    </row>
    <row r="17">
      <c r="B17" s="20">
        <f>IF(INDEX(SourceList,3)="","",INDEX(SourceList,3))</f>
        <v/>
      </c>
      <c r="C17" s="21">
        <f>IF(B17="","",COUNTIF('Oportunidades'!$E$2:$E$13,B17))</f>
        <v/>
      </c>
      <c r="D17" s="22">
        <f>IF(B17="","",SUMIFS('Oportunidades'!$G$2:$G$13,'Oportunidades'!$E$2:$E$13,B17,'Oportunidades'!$H$2:$H$13,"Ganho"))</f>
        <v/>
      </c>
    </row>
    <row r="18">
      <c r="B18" s="20">
        <f>IF(INDEX(SourceList,4)="","",INDEX(SourceList,4))</f>
        <v/>
      </c>
      <c r="C18" s="21">
        <f>IF(B18="","",COUNTIF('Oportunidades'!$E$2:$E$13,B18))</f>
        <v/>
      </c>
      <c r="D18" s="22">
        <f>IF(B18="","",SUMIFS('Oportunidades'!$G$2:$G$13,'Oportunidades'!$E$2:$E$13,B18,'Oportunidades'!$H$2:$H$13,"Ganho"))</f>
        <v/>
      </c>
    </row>
    <row r="19">
      <c r="B19" s="20">
        <f>IF(INDEX(SourceList,5)="","",INDEX(SourceList,5))</f>
        <v/>
      </c>
      <c r="C19" s="21">
        <f>IF(B19="","",COUNTIF('Oportunidades'!$E$2:$E$13,B19))</f>
        <v/>
      </c>
      <c r="D19" s="22">
        <f>IF(B19="","",SUMIFS('Oportunidades'!$G$2:$G$13,'Oportunidades'!$E$2:$E$13,B19,'Oportunidades'!$H$2:$H$13,"Ganho"))</f>
        <v/>
      </c>
    </row>
    <row r="20">
      <c r="B20" s="20">
        <f>IF(INDEX(SourceList,6)="","",INDEX(SourceList,6))</f>
        <v/>
      </c>
      <c r="C20" s="21">
        <f>IF(B20="","",COUNTIF('Oportunidades'!$E$2:$E$13,B20))</f>
        <v/>
      </c>
      <c r="D20" s="22">
        <f>IF(B20="","",SUMIFS('Oportunidades'!$G$2:$G$13,'Oportunidades'!$E$2:$E$13,B20,'Oportunidades'!$H$2:$H$13,"Ganho"))</f>
        <v/>
      </c>
    </row>
    <row r="21">
      <c r="B21" s="20">
        <f>IF(INDEX(SourceList,7)="","",INDEX(SourceList,7))</f>
        <v/>
      </c>
      <c r="C21" s="21">
        <f>IF(B21="","",COUNTIF('Oportunidades'!$E$2:$E$13,B21))</f>
        <v/>
      </c>
      <c r="D21" s="22">
        <f>IF(B21="","",SUMIFS('Oportunidades'!$G$2:$G$13,'Oportunidades'!$E$2:$E$13,B21,'Oportunidades'!$H$2:$H$13,"Ganho"))</f>
        <v/>
      </c>
    </row>
    <row r="22">
      <c r="B22" s="20">
        <f>IF(INDEX(SourceList,8)="","",INDEX(SourceList,8))</f>
        <v/>
      </c>
      <c r="C22" s="21">
        <f>IF(B22="","",COUNTIF('Oportunidades'!$E$2:$E$13,B22))</f>
        <v/>
      </c>
      <c r="D22" s="22">
        <f>IF(B22="","",SUMIFS('Oportunidades'!$G$2:$G$13,'Oportunidades'!$E$2:$E$13,B22,'Oportunidades'!$H$2:$H$13,"Ganho"))</f>
        <v/>
      </c>
    </row>
    <row r="23">
      <c r="B23" s="20">
        <f>IF(INDEX(SourceList,9)="","",INDEX(SourceList,9))</f>
        <v/>
      </c>
      <c r="C23" s="21">
        <f>IF(B23="","",COUNTIF('Oportunidades'!$E$2:$E$13,B23))</f>
        <v/>
      </c>
      <c r="D23" s="22">
        <f>IF(B23="","",SUMIFS('Oportunidades'!$G$2:$G$13,'Oportunidades'!$E$2:$E$13,B23,'Oportunidades'!$H$2:$H$13,"Ganho"))</f>
        <v/>
      </c>
    </row>
    <row r="24">
      <c r="B24" s="20">
        <f>IF(INDEX(SourceList,10)="","",INDEX(SourceList,10))</f>
        <v/>
      </c>
      <c r="C24" s="21">
        <f>IF(B24="","",COUNTIF('Oportunidades'!$E$2:$E$13,B24))</f>
        <v/>
      </c>
      <c r="D24" s="22">
        <f>IF(B24="","",SUMIFS('Oportunidades'!$G$2:$G$13,'Oportunidades'!$E$2:$E$13,B24,'Oportunidades'!$H$2:$H$13,"Ganho"))</f>
        <v/>
      </c>
    </row>
    <row r="26">
      <c r="B26" s="14" t="inlineStr">
        <is>
          <t>Por fase (total)</t>
        </is>
      </c>
    </row>
    <row r="27">
      <c r="B27" s="19" t="inlineStr">
        <is>
          <t>Fase</t>
        </is>
      </c>
      <c r="C27" s="19" t="inlineStr">
        <is>
          <t>N.º</t>
        </is>
      </c>
      <c r="D27" s="19" t="inlineStr">
        <is>
          <t>Valor €</t>
        </is>
      </c>
    </row>
    <row r="28">
      <c r="B28" s="20" t="inlineStr">
        <is>
          <t>Novo</t>
        </is>
      </c>
      <c r="C28" s="21">
        <f>COUNTIF('Oportunidades'!$H$2:$H$13,"Novo")</f>
        <v/>
      </c>
      <c r="D28" s="22">
        <f>SUMIFS('Oportunidades'!$G$2:$G$13,'Oportunidades'!$H$2:$H$13,"Novo")</f>
        <v/>
      </c>
    </row>
    <row r="29">
      <c r="B29" s="20" t="inlineStr">
        <is>
          <t>Contactado</t>
        </is>
      </c>
      <c r="C29" s="21">
        <f>COUNTIF('Oportunidades'!$H$2:$H$13,"Contactado")</f>
        <v/>
      </c>
      <c r="D29" s="22">
        <f>SUMIFS('Oportunidades'!$G$2:$G$13,'Oportunidades'!$H$2:$H$13,"Contactado")</f>
        <v/>
      </c>
    </row>
    <row r="30">
      <c r="B30" s="20" t="inlineStr">
        <is>
          <t>Orçamentado</t>
        </is>
      </c>
      <c r="C30" s="21">
        <f>COUNTIF('Oportunidades'!$H$2:$H$13,"Orçamentado")</f>
        <v/>
      </c>
      <c r="D30" s="22">
        <f>SUMIFS('Oportunidades'!$G$2:$G$13,'Oportunidades'!$H$2:$H$13,"Orçamentado")</f>
        <v/>
      </c>
    </row>
    <row r="31">
      <c r="B31" s="20" t="inlineStr">
        <is>
          <t>Ganho</t>
        </is>
      </c>
      <c r="C31" s="21">
        <f>COUNTIF('Oportunidades'!$H$2:$H$13,"Ganho")</f>
        <v/>
      </c>
      <c r="D31" s="22">
        <f>SUMIFS('Oportunidades'!$G$2:$G$13,'Oportunidades'!$H$2:$H$13,"Ganho")</f>
        <v/>
      </c>
    </row>
    <row r="32">
      <c r="B32" s="20" t="inlineStr">
        <is>
          <t>Perdido</t>
        </is>
      </c>
      <c r="C32" s="21">
        <f>COUNTIF('Oportunidades'!$H$2:$H$13,"Perdido")</f>
        <v/>
      </c>
      <c r="D32" s="22">
        <f>SUMIFS('Oportunidades'!$G$2:$G$13,'Oportunidades'!$H$2:$H$13,"Perdido")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18" customWidth="1" min="3" max="3"/>
    <col width="22" customWidth="1" min="4" max="4"/>
    <col width="13" customWidth="1" min="5" max="5"/>
    <col width="24" customWidth="1" min="6" max="6"/>
    <col width="14" customWidth="1" min="7" max="7"/>
    <col width="13" customWidth="1" min="8" max="8"/>
    <col width="13" customWidth="1" min="9" max="9"/>
    <col width="14" customWidth="1" min="10" max="10"/>
    <col width="16" customWidth="1" min="11" max="11"/>
    <col width="28" customWidth="1" min="12" max="12"/>
    <col width="10" customWidth="1" min="13" max="13"/>
    <col width="14" customWidth="1" min="14" max="14"/>
  </cols>
  <sheetData>
    <row r="1" ht="32" customHeight="1">
      <c r="A1" s="19" t="inlineStr">
        <is>
          <t>Data do pedido</t>
        </is>
      </c>
      <c r="B1" s="19" t="inlineStr">
        <is>
          <t>Cliente</t>
        </is>
      </c>
      <c r="C1" s="19" t="inlineStr">
        <is>
          <t>Pessoa de contacto</t>
        </is>
      </c>
      <c r="D1" s="19" t="inlineStr">
        <is>
          <t>Telefone ou email</t>
        </is>
      </c>
      <c r="E1" s="19" t="inlineStr">
        <is>
          <t>Origem</t>
        </is>
      </c>
      <c r="F1" s="19" t="inlineStr">
        <is>
          <t>Produto ou serviço</t>
        </is>
      </c>
      <c r="G1" s="19" t="inlineStr">
        <is>
          <t>Valor do orçamento €</t>
        </is>
      </c>
      <c r="H1" s="19" t="inlineStr">
        <is>
          <t>Fase</t>
        </is>
      </c>
      <c r="I1" s="19" t="inlineStr">
        <is>
          <t>Orçamento enviado</t>
        </is>
      </c>
      <c r="J1" s="19" t="inlineStr">
        <is>
          <t>Próximo seguimento</t>
        </is>
      </c>
      <c r="K1" s="19" t="inlineStr">
        <is>
          <t>Data de fecho (ganho ou perdido)</t>
        </is>
      </c>
      <c r="L1" s="19" t="inlineStr">
        <is>
          <t>Notas</t>
        </is>
      </c>
      <c r="M1" s="19" t="inlineStr">
        <is>
          <t>Dias em aberto</t>
        </is>
      </c>
      <c r="N1" s="19" t="inlineStr">
        <is>
          <t>Estado do seguimento</t>
        </is>
      </c>
    </row>
    <row r="2">
      <c r="A2" s="23" t="n">
        <v>46392</v>
      </c>
      <c r="B2" s="24" t="inlineStr">
        <is>
          <t>Café Aurora</t>
        </is>
      </c>
      <c r="C2" s="24" t="inlineStr">
        <is>
          <t>Rita Sousa</t>
        </is>
      </c>
      <c r="D2" s="24" t="inlineStr">
        <is>
          <t>rita@example.pt</t>
        </is>
      </c>
      <c r="E2" s="24" t="inlineStr">
        <is>
          <t>Site</t>
        </is>
      </c>
      <c r="F2" s="24" t="inlineStr">
        <is>
          <t>Remodelação de loja</t>
        </is>
      </c>
      <c r="G2" s="25" t="n">
        <v>2400</v>
      </c>
      <c r="H2" s="24" t="inlineStr">
        <is>
          <t>Ganho</t>
        </is>
      </c>
      <c r="I2" s="23" t="n">
        <v>46394</v>
      </c>
      <c r="J2" s="23" t="n"/>
      <c r="K2" s="23" t="n">
        <v>46407</v>
      </c>
      <c r="L2" s="24" t="n"/>
      <c r="M2" s="26">
        <f>IF(A2="","",MAX(0,IF(K2&lt;&gt;"",K2,TODAY())-A2))</f>
        <v/>
      </c>
      <c r="N2" s="27">
        <f>IF(OR(A2="",J2="",H2="Ganho",H2="Perdido"),"",IF(J2&lt;TODAY(),"Atrasado",IF(J2=TODAY(),"Hoje","Agendado")))</f>
        <v/>
      </c>
    </row>
    <row r="3">
      <c r="A3" s="23" t="n">
        <v>46399</v>
      </c>
      <c r="B3" s="24" t="inlineStr">
        <is>
          <t>Studio Nove</t>
        </is>
      </c>
      <c r="C3" s="24" t="inlineStr">
        <is>
          <t>Pedro Alves</t>
        </is>
      </c>
      <c r="D3" s="24" t="inlineStr">
        <is>
          <t>912 000 001</t>
        </is>
      </c>
      <c r="E3" s="24" t="inlineStr">
        <is>
          <t>Recomendação</t>
        </is>
      </c>
      <c r="F3" s="24" t="inlineStr">
        <is>
          <t>Contrato de manutenção</t>
        </is>
      </c>
      <c r="G3" s="25" t="n">
        <v>1200</v>
      </c>
      <c r="H3" s="24" t="inlineStr">
        <is>
          <t>Ganho</t>
        </is>
      </c>
      <c r="I3" s="23" t="n">
        <v>46400</v>
      </c>
      <c r="J3" s="23" t="n"/>
      <c r="K3" s="23" t="n">
        <v>46420</v>
      </c>
      <c r="L3" s="24" t="n"/>
      <c r="M3" s="26">
        <f>IF(A3="","",MAX(0,IF(K3&lt;&gt;"",K3,TODAY())-A3))</f>
        <v/>
      </c>
      <c r="N3" s="27">
        <f>IF(OR(A3="",J3="",H3="Ganho",H3="Perdido"),"",IF(J3&lt;TODAY(),"Atrasado",IF(J3=TODAY(),"Hoje","Agendado")))</f>
        <v/>
      </c>
    </row>
    <row r="4">
      <c r="A4" s="23" t="n">
        <v>46412</v>
      </c>
      <c r="B4" s="24" t="inlineStr">
        <is>
          <t>Rua do Sol Lda</t>
        </is>
      </c>
      <c r="C4" s="24" t="inlineStr">
        <is>
          <t>Ana Costa</t>
        </is>
      </c>
      <c r="D4" s="24" t="inlineStr">
        <is>
          <t>ana@example.pt</t>
        </is>
      </c>
      <c r="E4" s="24" t="inlineStr">
        <is>
          <t>Instagram</t>
        </is>
      </c>
      <c r="F4" s="24" t="inlineStr">
        <is>
          <t>Renovação de cozinha</t>
        </is>
      </c>
      <c r="G4" s="25" t="n">
        <v>980</v>
      </c>
      <c r="H4" s="24" t="inlineStr">
        <is>
          <t>Perdido</t>
        </is>
      </c>
      <c r="I4" s="23" t="n">
        <v>46414</v>
      </c>
      <c r="J4" s="23" t="n"/>
      <c r="K4" s="23" t="n">
        <v>46428</v>
      </c>
      <c r="L4" s="24" t="n"/>
      <c r="M4" s="26">
        <f>IF(A4="","",MAX(0,IF(K4&lt;&gt;"",K4,TODAY())-A4))</f>
        <v/>
      </c>
      <c r="N4" s="27">
        <f>IF(OR(A4="",J4="",H4="Ganho",H4="Perdido"),"",IF(J4&lt;TODAY(),"Atrasado",IF(J4=TODAY(),"Hoje","Agendado")))</f>
        <v/>
      </c>
    </row>
    <row r="5">
      <c r="A5" s="23" t="n">
        <v>46421</v>
      </c>
      <c r="B5" s="24" t="inlineStr">
        <is>
          <t>Casa Lima</t>
        </is>
      </c>
      <c r="C5" s="24" t="inlineStr">
        <is>
          <t>João Lima</t>
        </is>
      </c>
      <c r="D5" s="24" t="inlineStr">
        <is>
          <t>913 000 002</t>
        </is>
      </c>
      <c r="E5" s="24" t="inlineStr">
        <is>
          <t>Telefone</t>
        </is>
      </c>
      <c r="F5" s="24" t="inlineStr">
        <is>
          <t>Remodelação de escritório</t>
        </is>
      </c>
      <c r="G5" s="25" t="n">
        <v>3600</v>
      </c>
      <c r="H5" s="24" t="inlineStr">
        <is>
          <t>Orçamentado</t>
        </is>
      </c>
      <c r="I5" s="23" t="n">
        <v>46424</v>
      </c>
      <c r="J5" s="23" t="n">
        <v>46447</v>
      </c>
      <c r="K5" s="23" t="n"/>
      <c r="L5" s="24" t="n"/>
      <c r="M5" s="26">
        <f>IF(A5="","",MAX(0,IF(K5&lt;&gt;"",K5,TODAY())-A5))</f>
        <v/>
      </c>
      <c r="N5" s="27">
        <f>IF(OR(A5="",J5="",H5="Ganho",H5="Perdido"),"",IF(J5&lt;TODAY(),"Atrasado",IF(J5=TODAY(),"Hoje","Agendado")))</f>
        <v/>
      </c>
    </row>
    <row r="6">
      <c r="A6" s="23" t="n">
        <v>46432</v>
      </c>
      <c r="B6" s="24" t="inlineStr">
        <is>
          <t>Padaria Central</t>
        </is>
      </c>
      <c r="C6" s="24" t="inlineStr">
        <is>
          <t>Marta Reis</t>
        </is>
      </c>
      <c r="D6" s="24" t="inlineStr">
        <is>
          <t>marta@example.pt</t>
        </is>
      </c>
      <c r="E6" s="24" t="inlineStr">
        <is>
          <t>Presencial</t>
        </is>
      </c>
      <c r="F6" s="24" t="inlineStr">
        <is>
          <t>Expositores</t>
        </is>
      </c>
      <c r="G6" s="25" t="n">
        <v>750</v>
      </c>
      <c r="H6" s="24" t="inlineStr">
        <is>
          <t>Contactado</t>
        </is>
      </c>
      <c r="I6" s="23" t="n"/>
      <c r="J6" s="23" t="n">
        <v>46438</v>
      </c>
      <c r="K6" s="23" t="n"/>
      <c r="L6" s="24" t="n"/>
      <c r="M6" s="26">
        <f>IF(A6="","",MAX(0,IF(K6&lt;&gt;"",K6,TODAY())-A6))</f>
        <v/>
      </c>
      <c r="N6" s="27">
        <f>IF(OR(A6="",J6="",H6="Ganho",H6="Perdido"),"",IF(J6&lt;TODAY(),"Atrasado",IF(J6=TODAY(),"Hoje","Agendado")))</f>
        <v/>
      </c>
    </row>
    <row r="7">
      <c r="A7" s="23" t="n">
        <v>46439</v>
      </c>
      <c r="B7" s="24" t="inlineStr">
        <is>
          <t>Hotel Mar Azul</t>
        </is>
      </c>
      <c r="C7" s="24" t="inlineStr">
        <is>
          <t>Luís Pinto</t>
        </is>
      </c>
      <c r="D7" s="24" t="inlineStr">
        <is>
          <t>luis@example.pt</t>
        </is>
      </c>
      <c r="E7" s="24" t="inlineStr">
        <is>
          <t>Site</t>
        </is>
      </c>
      <c r="F7" s="24" t="inlineStr">
        <is>
          <t>Renovação de 6 quartos</t>
        </is>
      </c>
      <c r="G7" s="25" t="n">
        <v>8400</v>
      </c>
      <c r="H7" s="24" t="inlineStr">
        <is>
          <t>Orçamentado</t>
        </is>
      </c>
      <c r="I7" s="23" t="n">
        <v>46443</v>
      </c>
      <c r="J7" s="23" t="n">
        <v>46456</v>
      </c>
      <c r="K7" s="23" t="n"/>
      <c r="L7" s="24" t="n"/>
      <c r="M7" s="26">
        <f>IF(A7="","",MAX(0,IF(K7&lt;&gt;"",K7,TODAY())-A7))</f>
        <v/>
      </c>
      <c r="N7" s="27">
        <f>IF(OR(A7="",J7="",H7="Ganho",H7="Perdido"),"",IF(J7&lt;TODAY(),"Atrasado",IF(J7=TODAY(),"Hoje","Agendado")))</f>
        <v/>
      </c>
    </row>
    <row r="8">
      <c r="A8" s="23" t="n">
        <v>46448</v>
      </c>
      <c r="B8" s="24" t="inlineStr">
        <is>
          <t>Oficina Verde</t>
        </is>
      </c>
      <c r="C8" s="24" t="inlineStr">
        <is>
          <t>Sara Matos</t>
        </is>
      </c>
      <c r="D8" s="24" t="inlineStr">
        <is>
          <t>914 000 003</t>
        </is>
      </c>
      <c r="E8" s="24" t="inlineStr">
        <is>
          <t>Recomendação</t>
        </is>
      </c>
      <c r="F8" s="24" t="inlineStr">
        <is>
          <t>Arrumação de oficina</t>
        </is>
      </c>
      <c r="G8" s="25" t="n">
        <v>1450</v>
      </c>
      <c r="H8" s="24" t="inlineStr">
        <is>
          <t>Ganho</t>
        </is>
      </c>
      <c r="I8" s="23" t="n">
        <v>46450</v>
      </c>
      <c r="J8" s="23" t="n"/>
      <c r="K8" s="23" t="n">
        <v>46461</v>
      </c>
      <c r="L8" s="24" t="n"/>
      <c r="M8" s="26">
        <f>IF(A8="","",MAX(0,IF(K8&lt;&gt;"",K8,TODAY())-A8))</f>
        <v/>
      </c>
      <c r="N8" s="27">
        <f>IF(OR(A8="",J8="",H8="Ganho",H8="Perdido"),"",IF(J8&lt;TODAY(),"Atrasado",IF(J8=TODAY(),"Hoje","Agendado")))</f>
        <v/>
      </c>
    </row>
    <row r="9">
      <c r="A9" s="23" t="n">
        <v>46455</v>
      </c>
      <c r="B9" s="24" t="inlineStr">
        <is>
          <t>Ginásio Forte</t>
        </is>
      </c>
      <c r="C9" s="24" t="inlineStr">
        <is>
          <t>Rui Gomes</t>
        </is>
      </c>
      <c r="D9" s="24" t="inlineStr">
        <is>
          <t>rui@example.pt</t>
        </is>
      </c>
      <c r="E9" s="24" t="inlineStr">
        <is>
          <t>Site</t>
        </is>
      </c>
      <c r="F9" s="24" t="inlineStr">
        <is>
          <t>Balcão de receção</t>
        </is>
      </c>
      <c r="G9" s="25" t="n">
        <v>2100</v>
      </c>
      <c r="H9" s="24" t="inlineStr">
        <is>
          <t>Novo</t>
        </is>
      </c>
      <c r="I9" s="23" t="n"/>
      <c r="J9" s="23" t="n">
        <v>46458</v>
      </c>
      <c r="K9" s="23" t="n"/>
      <c r="L9" s="24" t="n"/>
      <c r="M9" s="26">
        <f>IF(A9="","",MAX(0,IF(K9&lt;&gt;"",K9,TODAY())-A9))</f>
        <v/>
      </c>
      <c r="N9" s="27">
        <f>IF(OR(A9="",J9="",H9="Ganho",H9="Perdido"),"",IF(J9&lt;TODAY(),"Atrasado",IF(J9=TODAY(),"Hoje","Agendado")))</f>
        <v/>
      </c>
    </row>
    <row r="10">
      <c r="A10" s="23" t="n"/>
      <c r="B10" s="24" t="n"/>
      <c r="C10" s="24" t="n"/>
      <c r="D10" s="24" t="n"/>
      <c r="E10" s="24" t="n"/>
      <c r="F10" s="24" t="n"/>
      <c r="G10" s="25" t="n"/>
      <c r="H10" s="24" t="n"/>
      <c r="I10" s="23" t="n"/>
      <c r="J10" s="23" t="n"/>
      <c r="K10" s="23" t="n"/>
      <c r="L10" s="24" t="n"/>
      <c r="M10" s="26">
        <f>IF(A10="","",MAX(0,IF(K10&lt;&gt;"",K10,TODAY())-A10))</f>
        <v/>
      </c>
      <c r="N10" s="27">
        <f>IF(OR(A10="",J10="",H10="Ganho",H10="Perdido"),"",IF(J10&lt;TODAY(),"Atrasado",IF(J10=TODAY(),"Hoje","Agendado")))</f>
        <v/>
      </c>
    </row>
    <row r="11">
      <c r="A11" s="23" t="n"/>
      <c r="B11" s="24" t="n"/>
      <c r="C11" s="24" t="n"/>
      <c r="D11" s="24" t="n"/>
      <c r="E11" s="24" t="n"/>
      <c r="F11" s="24" t="n"/>
      <c r="G11" s="25" t="n"/>
      <c r="H11" s="24" t="n"/>
      <c r="I11" s="23" t="n"/>
      <c r="J11" s="23" t="n"/>
      <c r="K11" s="23" t="n"/>
      <c r="L11" s="24" t="n"/>
      <c r="M11" s="26">
        <f>IF(A11="","",MAX(0,IF(K11&lt;&gt;"",K11,TODAY())-A11))</f>
        <v/>
      </c>
      <c r="N11" s="27">
        <f>IF(OR(A11="",J11="",H11="Ganho",H11="Perdido"),"",IF(J11&lt;TODAY(),"Atrasado",IF(J11=TODAY(),"Hoje","Agendado")))</f>
        <v/>
      </c>
    </row>
    <row r="12">
      <c r="A12" s="23" t="n"/>
      <c r="B12" s="24" t="n"/>
      <c r="C12" s="24" t="n"/>
      <c r="D12" s="24" t="n"/>
      <c r="E12" s="24" t="n"/>
      <c r="F12" s="24" t="n"/>
      <c r="G12" s="25" t="n"/>
      <c r="H12" s="24" t="n"/>
      <c r="I12" s="23" t="n"/>
      <c r="J12" s="23" t="n"/>
      <c r="K12" s="23" t="n"/>
      <c r="L12" s="24" t="n"/>
      <c r="M12" s="26">
        <f>IF(A12="","",MAX(0,IF(K12&lt;&gt;"",K12,TODAY())-A12))</f>
        <v/>
      </c>
      <c r="N12" s="27">
        <f>IF(OR(A12="",J12="",H12="Ganho",H12="Perdido"),"",IF(J12&lt;TODAY(),"Atrasado",IF(J12=TODAY(),"Hoje","Agendado")))</f>
        <v/>
      </c>
    </row>
    <row r="13">
      <c r="A13" s="23" t="n"/>
      <c r="B13" s="24" t="n"/>
      <c r="C13" s="24" t="n"/>
      <c r="D13" s="24" t="n"/>
      <c r="E13" s="24" t="n"/>
      <c r="F13" s="24" t="n"/>
      <c r="G13" s="25" t="n"/>
      <c r="H13" s="24" t="n"/>
      <c r="I13" s="23" t="n"/>
      <c r="J13" s="23" t="n"/>
      <c r="K13" s="23" t="n"/>
      <c r="L13" s="24" t="n"/>
      <c r="M13" s="26">
        <f>IF(A13="","",MAX(0,IF(K13&lt;&gt;"",K13,TODAY())-A13))</f>
        <v/>
      </c>
      <c r="N13" s="27">
        <f>IF(OR(A13="",J13="",H13="Ganho",H13="Perdido"),"",IF(J13&lt;TODAY(),"Atrasado",IF(J13=TODAY(),"Hoje","Agendado")))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N2:N13">
    <cfRule type="cellIs" priority="1" operator="equal" dxfId="0">
      <formula>"Atrasado"</formula>
    </cfRule>
    <cfRule type="cellIs" priority="2" operator="equal" dxfId="1">
      <formula>"Hoje"</formula>
    </cfRule>
  </conditionalFormatting>
  <conditionalFormatting sqref="H2:H13">
    <cfRule type="cellIs" priority="3" operator="equal" dxfId="2">
      <formula>"Ganho"</formula>
    </cfRule>
    <cfRule type="cellIs" priority="4" operator="equal" dxfId="3">
      <formula>"Perdido"</formula>
    </cfRule>
  </conditionalFormatting>
  <dataValidations count="3">
    <dataValidation sqref="E2:E13" showDropDown="0" showInputMessage="0" showErrorMessage="1" allowBlank="1" errorTitle="Fora da lista" error="Escolha um valor da lista (edite as listas nas Definições)." type="list">
      <formula1>=SourceList</formula1>
    </dataValidation>
    <dataValidation sqref="G2:G13" showDropDown="0" showInputMessage="0" showErrorMessage="1" allowBlank="1" error="Introduza um número." type="decimal" operator="greaterThanOrEqual">
      <formula1>0</formula1>
    </dataValidation>
    <dataValidation sqref="H2:H13" showDropDown="0" showInputMessage="0" showErrorMessage="1" allowBlank="1" errorTitle="Fora da lista" error="Escolha um valor da lista (edite as listas nas Definições)." type="list">
      <formula1>=StageList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14" customWidth="1" min="4" max="4"/>
    <col width="16" customWidth="1" min="5" max="5"/>
    <col width="14" customWidth="1" min="6" max="6"/>
    <col width="16" customWidth="1" min="7" max="7"/>
    <col width="14" customWidth="1" min="8" max="8"/>
    <col width="13" customWidth="1" min="9" max="9"/>
    <col width="18" customWidth="1" min="10" max="10"/>
  </cols>
  <sheetData>
    <row r="1">
      <c r="A1" s="1" t="inlineStr">
        <is>
          <t>Vendas por mês</t>
        </is>
      </c>
    </row>
    <row r="2">
      <c r="A2" s="3" t="inlineStr">
        <is>
          <t>Contagens e valores por mês do ano definido. Orçamentos contam no mês de envio; ganhos e perdas no mês de fecho.</t>
        </is>
      </c>
    </row>
    <row r="4" ht="32" customHeight="1">
      <c r="A4" s="19" t="inlineStr">
        <is>
          <t>Início do mês</t>
        </is>
      </c>
      <c r="B4" s="19" t="inlineStr">
        <is>
          <t>Mês</t>
        </is>
      </c>
      <c r="C4" s="19" t="inlineStr">
        <is>
          <t>Novos pedidos</t>
        </is>
      </c>
      <c r="D4" s="19" t="inlineStr">
        <is>
          <t>Orçamentos enviados</t>
        </is>
      </c>
      <c r="E4" s="19" t="inlineStr">
        <is>
          <t>Valor orçamentado €</t>
        </is>
      </c>
      <c r="F4" s="19" t="inlineStr">
        <is>
          <t>Negócios ganhos</t>
        </is>
      </c>
      <c r="G4" s="19" t="inlineStr">
        <is>
          <t>Valor ganho €</t>
        </is>
      </c>
      <c r="H4" s="19" t="inlineStr">
        <is>
          <t>Negócios perdidos</t>
        </is>
      </c>
      <c r="I4" s="19" t="inlineStr">
        <is>
          <t>Taxa de sucesso</t>
        </is>
      </c>
      <c r="J4" s="19" t="inlineStr">
        <is>
          <t>Negócio médio ganho €</t>
        </is>
      </c>
    </row>
    <row r="5">
      <c r="A5" s="28">
        <f>DATE(SelYear,1,1)</f>
        <v/>
      </c>
      <c r="B5" s="29" t="inlineStr">
        <is>
          <t>Jan</t>
        </is>
      </c>
      <c r="C5" s="30">
        <f>COUNTIFS('Oportunidades'!$A$2:$A$13,"&gt;="&amp;$A5,'Oportunidades'!$A$2:$A$13,"&lt;"&amp;DATE(YEAR($A5),MONTH($A5)+1,1))</f>
        <v/>
      </c>
      <c r="D5" s="30">
        <f>COUNTIFS('Oportunidades'!$I$2:$I$13,"&gt;="&amp;$A5,'Oportunidades'!$I$2:$I$13,"&lt;"&amp;DATE(YEAR($A5),MONTH($A5)+1,1))</f>
        <v/>
      </c>
      <c r="E5" s="31">
        <f>SUMIFS('Oportunidades'!$G$2:$G$13,'Oportunidades'!$I$2:$I$13,"&gt;="&amp;$A5,'Oportunidades'!$I$2:$I$13,"&lt;"&amp;DATE(YEAR($A5),MONTH($A5)+1,1))</f>
        <v/>
      </c>
      <c r="F5" s="30">
        <f>COUNTIFS('Oportunidades'!$H$2:$H$13,"Ganho",'Oportunidades'!$K$2:$K$13,"&gt;="&amp;$A5,'Oportunidades'!$K$2:$K$13,"&lt;"&amp;DATE(YEAR($A5),MONTH($A5)+1,1))</f>
        <v/>
      </c>
      <c r="G5" s="31">
        <f>SUMIFS('Oportunidades'!$G$2:$G$13,'Oportunidades'!$H$2:$H$13,"Ganho",'Oportunidades'!$K$2:$K$13,"&gt;="&amp;$A5,'Oportunidades'!$K$2:$K$13,"&lt;"&amp;DATE(YEAR($A5),MONTH($A5)+1,1))</f>
        <v/>
      </c>
      <c r="H5" s="30">
        <f>COUNTIFS('Oportunidades'!$H$2:$H$13,"Perdido",'Oportunidades'!$K$2:$K$13,"&gt;="&amp;$A5,'Oportunidades'!$K$2:$K$13,"&lt;"&amp;DATE(YEAR($A5),MONTH($A5)+1,1))</f>
        <v/>
      </c>
      <c r="I5" s="32">
        <f>IF(F5+H5=0,"",F5/(F5+H5))</f>
        <v/>
      </c>
      <c r="J5" s="31">
        <f>IF(F5=0,"",G5/F5)</f>
        <v/>
      </c>
    </row>
    <row r="6">
      <c r="A6" s="28">
        <f>DATE(SelYear,2,1)</f>
        <v/>
      </c>
      <c r="B6" s="29" t="inlineStr">
        <is>
          <t>Fev</t>
        </is>
      </c>
      <c r="C6" s="30">
        <f>COUNTIFS('Oportunidades'!$A$2:$A$13,"&gt;="&amp;$A6,'Oportunidades'!$A$2:$A$13,"&lt;"&amp;DATE(YEAR($A6),MONTH($A6)+1,1))</f>
        <v/>
      </c>
      <c r="D6" s="30">
        <f>COUNTIFS('Oportunidades'!$I$2:$I$13,"&gt;="&amp;$A6,'Oportunidades'!$I$2:$I$13,"&lt;"&amp;DATE(YEAR($A6),MONTH($A6)+1,1))</f>
        <v/>
      </c>
      <c r="E6" s="31">
        <f>SUMIFS('Oportunidades'!$G$2:$G$13,'Oportunidades'!$I$2:$I$13,"&gt;="&amp;$A6,'Oportunidades'!$I$2:$I$13,"&lt;"&amp;DATE(YEAR($A6),MONTH($A6)+1,1))</f>
        <v/>
      </c>
      <c r="F6" s="30">
        <f>COUNTIFS('Oportunidades'!$H$2:$H$13,"Ganho",'Oportunidades'!$K$2:$K$13,"&gt;="&amp;$A6,'Oportunidades'!$K$2:$K$13,"&lt;"&amp;DATE(YEAR($A6),MONTH($A6)+1,1))</f>
        <v/>
      </c>
      <c r="G6" s="31">
        <f>SUMIFS('Oportunidades'!$G$2:$G$13,'Oportunidades'!$H$2:$H$13,"Ganho",'Oportunidades'!$K$2:$K$13,"&gt;="&amp;$A6,'Oportunidades'!$K$2:$K$13,"&lt;"&amp;DATE(YEAR($A6),MONTH($A6)+1,1))</f>
        <v/>
      </c>
      <c r="H6" s="30">
        <f>COUNTIFS('Oportunidades'!$H$2:$H$13,"Perdido",'Oportunidades'!$K$2:$K$13,"&gt;="&amp;$A6,'Oportunidades'!$K$2:$K$13,"&lt;"&amp;DATE(YEAR($A6),MONTH($A6)+1,1))</f>
        <v/>
      </c>
      <c r="I6" s="32">
        <f>IF(F6+H6=0,"",F6/(F6+H6))</f>
        <v/>
      </c>
      <c r="J6" s="31">
        <f>IF(F6=0,"",G6/F6)</f>
        <v/>
      </c>
    </row>
    <row r="7">
      <c r="A7" s="28">
        <f>DATE(SelYear,3,1)</f>
        <v/>
      </c>
      <c r="B7" s="29" t="inlineStr">
        <is>
          <t>Mar</t>
        </is>
      </c>
      <c r="C7" s="30">
        <f>COUNTIFS('Oportunidades'!$A$2:$A$13,"&gt;="&amp;$A7,'Oportunidades'!$A$2:$A$13,"&lt;"&amp;DATE(YEAR($A7),MONTH($A7)+1,1))</f>
        <v/>
      </c>
      <c r="D7" s="30">
        <f>COUNTIFS('Oportunidades'!$I$2:$I$13,"&gt;="&amp;$A7,'Oportunidades'!$I$2:$I$13,"&lt;"&amp;DATE(YEAR($A7),MONTH($A7)+1,1))</f>
        <v/>
      </c>
      <c r="E7" s="31">
        <f>SUMIFS('Oportunidades'!$G$2:$G$13,'Oportunidades'!$I$2:$I$13,"&gt;="&amp;$A7,'Oportunidades'!$I$2:$I$13,"&lt;"&amp;DATE(YEAR($A7),MONTH($A7)+1,1))</f>
        <v/>
      </c>
      <c r="F7" s="30">
        <f>COUNTIFS('Oportunidades'!$H$2:$H$13,"Ganho",'Oportunidades'!$K$2:$K$13,"&gt;="&amp;$A7,'Oportunidades'!$K$2:$K$13,"&lt;"&amp;DATE(YEAR($A7),MONTH($A7)+1,1))</f>
        <v/>
      </c>
      <c r="G7" s="31">
        <f>SUMIFS('Oportunidades'!$G$2:$G$13,'Oportunidades'!$H$2:$H$13,"Ganho",'Oportunidades'!$K$2:$K$13,"&gt;="&amp;$A7,'Oportunidades'!$K$2:$K$13,"&lt;"&amp;DATE(YEAR($A7),MONTH($A7)+1,1))</f>
        <v/>
      </c>
      <c r="H7" s="30">
        <f>COUNTIFS('Oportunidades'!$H$2:$H$13,"Perdido",'Oportunidades'!$K$2:$K$13,"&gt;="&amp;$A7,'Oportunidades'!$K$2:$K$13,"&lt;"&amp;DATE(YEAR($A7),MONTH($A7)+1,1))</f>
        <v/>
      </c>
      <c r="I7" s="32">
        <f>IF(F7+H7=0,"",F7/(F7+H7))</f>
        <v/>
      </c>
      <c r="J7" s="31">
        <f>IF(F7=0,"",G7/F7)</f>
        <v/>
      </c>
    </row>
    <row r="8">
      <c r="A8" s="28">
        <f>DATE(SelYear,4,1)</f>
        <v/>
      </c>
      <c r="B8" s="29" t="inlineStr">
        <is>
          <t>Abr</t>
        </is>
      </c>
      <c r="C8" s="30">
        <f>COUNTIFS('Oportunidades'!$A$2:$A$13,"&gt;="&amp;$A8,'Oportunidades'!$A$2:$A$13,"&lt;"&amp;DATE(YEAR($A8),MONTH($A8)+1,1))</f>
        <v/>
      </c>
      <c r="D8" s="30">
        <f>COUNTIFS('Oportunidades'!$I$2:$I$13,"&gt;="&amp;$A8,'Oportunidades'!$I$2:$I$13,"&lt;"&amp;DATE(YEAR($A8),MONTH($A8)+1,1))</f>
        <v/>
      </c>
      <c r="E8" s="31">
        <f>SUMIFS('Oportunidades'!$G$2:$G$13,'Oportunidades'!$I$2:$I$13,"&gt;="&amp;$A8,'Oportunidades'!$I$2:$I$13,"&lt;"&amp;DATE(YEAR($A8),MONTH($A8)+1,1))</f>
        <v/>
      </c>
      <c r="F8" s="30">
        <f>COUNTIFS('Oportunidades'!$H$2:$H$13,"Ganho",'Oportunidades'!$K$2:$K$13,"&gt;="&amp;$A8,'Oportunidades'!$K$2:$K$13,"&lt;"&amp;DATE(YEAR($A8),MONTH($A8)+1,1))</f>
        <v/>
      </c>
      <c r="G8" s="31">
        <f>SUMIFS('Oportunidades'!$G$2:$G$13,'Oportunidades'!$H$2:$H$13,"Ganho",'Oportunidades'!$K$2:$K$13,"&gt;="&amp;$A8,'Oportunidades'!$K$2:$K$13,"&lt;"&amp;DATE(YEAR($A8),MONTH($A8)+1,1))</f>
        <v/>
      </c>
      <c r="H8" s="30">
        <f>COUNTIFS('Oportunidades'!$H$2:$H$13,"Perdido",'Oportunidades'!$K$2:$K$13,"&gt;="&amp;$A8,'Oportunidades'!$K$2:$K$13,"&lt;"&amp;DATE(YEAR($A8),MONTH($A8)+1,1))</f>
        <v/>
      </c>
      <c r="I8" s="32">
        <f>IF(F8+H8=0,"",F8/(F8+H8))</f>
        <v/>
      </c>
      <c r="J8" s="31">
        <f>IF(F8=0,"",G8/F8)</f>
        <v/>
      </c>
    </row>
    <row r="9">
      <c r="A9" s="28">
        <f>DATE(SelYear,5,1)</f>
        <v/>
      </c>
      <c r="B9" s="29" t="inlineStr">
        <is>
          <t>Mai</t>
        </is>
      </c>
      <c r="C9" s="30">
        <f>COUNTIFS('Oportunidades'!$A$2:$A$13,"&gt;="&amp;$A9,'Oportunidades'!$A$2:$A$13,"&lt;"&amp;DATE(YEAR($A9),MONTH($A9)+1,1))</f>
        <v/>
      </c>
      <c r="D9" s="30">
        <f>COUNTIFS('Oportunidades'!$I$2:$I$13,"&gt;="&amp;$A9,'Oportunidades'!$I$2:$I$13,"&lt;"&amp;DATE(YEAR($A9),MONTH($A9)+1,1))</f>
        <v/>
      </c>
      <c r="E9" s="31">
        <f>SUMIFS('Oportunidades'!$G$2:$G$13,'Oportunidades'!$I$2:$I$13,"&gt;="&amp;$A9,'Oportunidades'!$I$2:$I$13,"&lt;"&amp;DATE(YEAR($A9),MONTH($A9)+1,1))</f>
        <v/>
      </c>
      <c r="F9" s="30">
        <f>COUNTIFS('Oportunidades'!$H$2:$H$13,"Ganho",'Oportunidades'!$K$2:$K$13,"&gt;="&amp;$A9,'Oportunidades'!$K$2:$K$13,"&lt;"&amp;DATE(YEAR($A9),MONTH($A9)+1,1))</f>
        <v/>
      </c>
      <c r="G9" s="31">
        <f>SUMIFS('Oportunidades'!$G$2:$G$13,'Oportunidades'!$H$2:$H$13,"Ganho",'Oportunidades'!$K$2:$K$13,"&gt;="&amp;$A9,'Oportunidades'!$K$2:$K$13,"&lt;"&amp;DATE(YEAR($A9),MONTH($A9)+1,1))</f>
        <v/>
      </c>
      <c r="H9" s="30">
        <f>COUNTIFS('Oportunidades'!$H$2:$H$13,"Perdido",'Oportunidades'!$K$2:$K$13,"&gt;="&amp;$A9,'Oportunidades'!$K$2:$K$13,"&lt;"&amp;DATE(YEAR($A9),MONTH($A9)+1,1))</f>
        <v/>
      </c>
      <c r="I9" s="32">
        <f>IF(F9+H9=0,"",F9/(F9+H9))</f>
        <v/>
      </c>
      <c r="J9" s="31">
        <f>IF(F9=0,"",G9/F9)</f>
        <v/>
      </c>
    </row>
    <row r="10">
      <c r="A10" s="28">
        <f>DATE(SelYear,6,1)</f>
        <v/>
      </c>
      <c r="B10" s="29" t="inlineStr">
        <is>
          <t>Jun</t>
        </is>
      </c>
      <c r="C10" s="30">
        <f>COUNTIFS('Oportunidades'!$A$2:$A$13,"&gt;="&amp;$A10,'Oportunidades'!$A$2:$A$13,"&lt;"&amp;DATE(YEAR($A10),MONTH($A10)+1,1))</f>
        <v/>
      </c>
      <c r="D10" s="30">
        <f>COUNTIFS('Oportunidades'!$I$2:$I$13,"&gt;="&amp;$A10,'Oportunidades'!$I$2:$I$13,"&lt;"&amp;DATE(YEAR($A10),MONTH($A10)+1,1))</f>
        <v/>
      </c>
      <c r="E10" s="31">
        <f>SUMIFS('Oportunidades'!$G$2:$G$13,'Oportunidades'!$I$2:$I$13,"&gt;="&amp;$A10,'Oportunidades'!$I$2:$I$13,"&lt;"&amp;DATE(YEAR($A10),MONTH($A10)+1,1))</f>
        <v/>
      </c>
      <c r="F10" s="30">
        <f>COUNTIFS('Oportunidades'!$H$2:$H$13,"Ganho",'Oportunidades'!$K$2:$K$13,"&gt;="&amp;$A10,'Oportunidades'!$K$2:$K$13,"&lt;"&amp;DATE(YEAR($A10),MONTH($A10)+1,1))</f>
        <v/>
      </c>
      <c r="G10" s="31">
        <f>SUMIFS('Oportunidades'!$G$2:$G$13,'Oportunidades'!$H$2:$H$13,"Ganho",'Oportunidades'!$K$2:$K$13,"&gt;="&amp;$A10,'Oportunidades'!$K$2:$K$13,"&lt;"&amp;DATE(YEAR($A10),MONTH($A10)+1,1))</f>
        <v/>
      </c>
      <c r="H10" s="30">
        <f>COUNTIFS('Oportunidades'!$H$2:$H$13,"Perdido",'Oportunidades'!$K$2:$K$13,"&gt;="&amp;$A10,'Oportunidades'!$K$2:$K$13,"&lt;"&amp;DATE(YEAR($A10),MONTH($A10)+1,1))</f>
        <v/>
      </c>
      <c r="I10" s="32">
        <f>IF(F10+H10=0,"",F10/(F10+H10))</f>
        <v/>
      </c>
      <c r="J10" s="31">
        <f>IF(F10=0,"",G10/F10)</f>
        <v/>
      </c>
    </row>
    <row r="11">
      <c r="A11" s="28">
        <f>DATE(SelYear,7,1)</f>
        <v/>
      </c>
      <c r="B11" s="29" t="inlineStr">
        <is>
          <t>Jul</t>
        </is>
      </c>
      <c r="C11" s="30">
        <f>COUNTIFS('Oportunidades'!$A$2:$A$13,"&gt;="&amp;$A11,'Oportunidades'!$A$2:$A$13,"&lt;"&amp;DATE(YEAR($A11),MONTH($A11)+1,1))</f>
        <v/>
      </c>
      <c r="D11" s="30">
        <f>COUNTIFS('Oportunidades'!$I$2:$I$13,"&gt;="&amp;$A11,'Oportunidades'!$I$2:$I$13,"&lt;"&amp;DATE(YEAR($A11),MONTH($A11)+1,1))</f>
        <v/>
      </c>
      <c r="E11" s="31">
        <f>SUMIFS('Oportunidades'!$G$2:$G$13,'Oportunidades'!$I$2:$I$13,"&gt;="&amp;$A11,'Oportunidades'!$I$2:$I$13,"&lt;"&amp;DATE(YEAR($A11),MONTH($A11)+1,1))</f>
        <v/>
      </c>
      <c r="F11" s="30">
        <f>COUNTIFS('Oportunidades'!$H$2:$H$13,"Ganho",'Oportunidades'!$K$2:$K$13,"&gt;="&amp;$A11,'Oportunidades'!$K$2:$K$13,"&lt;"&amp;DATE(YEAR($A11),MONTH($A11)+1,1))</f>
        <v/>
      </c>
      <c r="G11" s="31">
        <f>SUMIFS('Oportunidades'!$G$2:$G$13,'Oportunidades'!$H$2:$H$13,"Ganho",'Oportunidades'!$K$2:$K$13,"&gt;="&amp;$A11,'Oportunidades'!$K$2:$K$13,"&lt;"&amp;DATE(YEAR($A11),MONTH($A11)+1,1))</f>
        <v/>
      </c>
      <c r="H11" s="30">
        <f>COUNTIFS('Oportunidades'!$H$2:$H$13,"Perdido",'Oportunidades'!$K$2:$K$13,"&gt;="&amp;$A11,'Oportunidades'!$K$2:$K$13,"&lt;"&amp;DATE(YEAR($A11),MONTH($A11)+1,1))</f>
        <v/>
      </c>
      <c r="I11" s="32">
        <f>IF(F11+H11=0,"",F11/(F11+H11))</f>
        <v/>
      </c>
      <c r="J11" s="31">
        <f>IF(F11=0,"",G11/F11)</f>
        <v/>
      </c>
    </row>
    <row r="12">
      <c r="A12" s="28">
        <f>DATE(SelYear,8,1)</f>
        <v/>
      </c>
      <c r="B12" s="29" t="inlineStr">
        <is>
          <t>Ago</t>
        </is>
      </c>
      <c r="C12" s="30">
        <f>COUNTIFS('Oportunidades'!$A$2:$A$13,"&gt;="&amp;$A12,'Oportunidades'!$A$2:$A$13,"&lt;"&amp;DATE(YEAR($A12),MONTH($A12)+1,1))</f>
        <v/>
      </c>
      <c r="D12" s="30">
        <f>COUNTIFS('Oportunidades'!$I$2:$I$13,"&gt;="&amp;$A12,'Oportunidades'!$I$2:$I$13,"&lt;"&amp;DATE(YEAR($A12),MONTH($A12)+1,1))</f>
        <v/>
      </c>
      <c r="E12" s="31">
        <f>SUMIFS('Oportunidades'!$G$2:$G$13,'Oportunidades'!$I$2:$I$13,"&gt;="&amp;$A12,'Oportunidades'!$I$2:$I$13,"&lt;"&amp;DATE(YEAR($A12),MONTH($A12)+1,1))</f>
        <v/>
      </c>
      <c r="F12" s="30">
        <f>COUNTIFS('Oportunidades'!$H$2:$H$13,"Ganho",'Oportunidades'!$K$2:$K$13,"&gt;="&amp;$A12,'Oportunidades'!$K$2:$K$13,"&lt;"&amp;DATE(YEAR($A12),MONTH($A12)+1,1))</f>
        <v/>
      </c>
      <c r="G12" s="31">
        <f>SUMIFS('Oportunidades'!$G$2:$G$13,'Oportunidades'!$H$2:$H$13,"Ganho",'Oportunidades'!$K$2:$K$13,"&gt;="&amp;$A12,'Oportunidades'!$K$2:$K$13,"&lt;"&amp;DATE(YEAR($A12),MONTH($A12)+1,1))</f>
        <v/>
      </c>
      <c r="H12" s="30">
        <f>COUNTIFS('Oportunidades'!$H$2:$H$13,"Perdido",'Oportunidades'!$K$2:$K$13,"&gt;="&amp;$A12,'Oportunidades'!$K$2:$K$13,"&lt;"&amp;DATE(YEAR($A12),MONTH($A12)+1,1))</f>
        <v/>
      </c>
      <c r="I12" s="32">
        <f>IF(F12+H12=0,"",F12/(F12+H12))</f>
        <v/>
      </c>
      <c r="J12" s="31">
        <f>IF(F12=0,"",G12/F12)</f>
        <v/>
      </c>
    </row>
    <row r="13">
      <c r="A13" s="28">
        <f>DATE(SelYear,9,1)</f>
        <v/>
      </c>
      <c r="B13" s="29" t="inlineStr">
        <is>
          <t>Set</t>
        </is>
      </c>
      <c r="C13" s="30">
        <f>COUNTIFS('Oportunidades'!$A$2:$A$13,"&gt;="&amp;$A13,'Oportunidades'!$A$2:$A$13,"&lt;"&amp;DATE(YEAR($A13),MONTH($A13)+1,1))</f>
        <v/>
      </c>
      <c r="D13" s="30">
        <f>COUNTIFS('Oportunidades'!$I$2:$I$13,"&gt;="&amp;$A13,'Oportunidades'!$I$2:$I$13,"&lt;"&amp;DATE(YEAR($A13),MONTH($A13)+1,1))</f>
        <v/>
      </c>
      <c r="E13" s="31">
        <f>SUMIFS('Oportunidades'!$G$2:$G$13,'Oportunidades'!$I$2:$I$13,"&gt;="&amp;$A13,'Oportunidades'!$I$2:$I$13,"&lt;"&amp;DATE(YEAR($A13),MONTH($A13)+1,1))</f>
        <v/>
      </c>
      <c r="F13" s="30">
        <f>COUNTIFS('Oportunidades'!$H$2:$H$13,"Ganho",'Oportunidades'!$K$2:$K$13,"&gt;="&amp;$A13,'Oportunidades'!$K$2:$K$13,"&lt;"&amp;DATE(YEAR($A13),MONTH($A13)+1,1))</f>
        <v/>
      </c>
      <c r="G13" s="31">
        <f>SUMIFS('Oportunidades'!$G$2:$G$13,'Oportunidades'!$H$2:$H$13,"Ganho",'Oportunidades'!$K$2:$K$13,"&gt;="&amp;$A13,'Oportunidades'!$K$2:$K$13,"&lt;"&amp;DATE(YEAR($A13),MONTH($A13)+1,1))</f>
        <v/>
      </c>
      <c r="H13" s="30">
        <f>COUNTIFS('Oportunidades'!$H$2:$H$13,"Perdido",'Oportunidades'!$K$2:$K$13,"&gt;="&amp;$A13,'Oportunidades'!$K$2:$K$13,"&lt;"&amp;DATE(YEAR($A13),MONTH($A13)+1,1))</f>
        <v/>
      </c>
      <c r="I13" s="32">
        <f>IF(F13+H13=0,"",F13/(F13+H13))</f>
        <v/>
      </c>
      <c r="J13" s="31">
        <f>IF(F13=0,"",G13/F13)</f>
        <v/>
      </c>
    </row>
    <row r="14">
      <c r="A14" s="28">
        <f>DATE(SelYear,10,1)</f>
        <v/>
      </c>
      <c r="B14" s="29" t="inlineStr">
        <is>
          <t>Out</t>
        </is>
      </c>
      <c r="C14" s="30">
        <f>COUNTIFS('Oportunidades'!$A$2:$A$13,"&gt;="&amp;$A14,'Oportunidades'!$A$2:$A$13,"&lt;"&amp;DATE(YEAR($A14),MONTH($A14)+1,1))</f>
        <v/>
      </c>
      <c r="D14" s="30">
        <f>COUNTIFS('Oportunidades'!$I$2:$I$13,"&gt;="&amp;$A14,'Oportunidades'!$I$2:$I$13,"&lt;"&amp;DATE(YEAR($A14),MONTH($A14)+1,1))</f>
        <v/>
      </c>
      <c r="E14" s="31">
        <f>SUMIFS('Oportunidades'!$G$2:$G$13,'Oportunidades'!$I$2:$I$13,"&gt;="&amp;$A14,'Oportunidades'!$I$2:$I$13,"&lt;"&amp;DATE(YEAR($A14),MONTH($A14)+1,1))</f>
        <v/>
      </c>
      <c r="F14" s="30">
        <f>COUNTIFS('Oportunidades'!$H$2:$H$13,"Ganho",'Oportunidades'!$K$2:$K$13,"&gt;="&amp;$A14,'Oportunidades'!$K$2:$K$13,"&lt;"&amp;DATE(YEAR($A14),MONTH($A14)+1,1))</f>
        <v/>
      </c>
      <c r="G14" s="31">
        <f>SUMIFS('Oportunidades'!$G$2:$G$13,'Oportunidades'!$H$2:$H$13,"Ganho",'Oportunidades'!$K$2:$K$13,"&gt;="&amp;$A14,'Oportunidades'!$K$2:$K$13,"&lt;"&amp;DATE(YEAR($A14),MONTH($A14)+1,1))</f>
        <v/>
      </c>
      <c r="H14" s="30">
        <f>COUNTIFS('Oportunidades'!$H$2:$H$13,"Perdido",'Oportunidades'!$K$2:$K$13,"&gt;="&amp;$A14,'Oportunidades'!$K$2:$K$13,"&lt;"&amp;DATE(YEAR($A14),MONTH($A14)+1,1))</f>
        <v/>
      </c>
      <c r="I14" s="32">
        <f>IF(F14+H14=0,"",F14/(F14+H14))</f>
        <v/>
      </c>
      <c r="J14" s="31">
        <f>IF(F14=0,"",G14/F14)</f>
        <v/>
      </c>
    </row>
    <row r="15">
      <c r="A15" s="28">
        <f>DATE(SelYear,11,1)</f>
        <v/>
      </c>
      <c r="B15" s="29" t="inlineStr">
        <is>
          <t>Nov</t>
        </is>
      </c>
      <c r="C15" s="30">
        <f>COUNTIFS('Oportunidades'!$A$2:$A$13,"&gt;="&amp;$A15,'Oportunidades'!$A$2:$A$13,"&lt;"&amp;DATE(YEAR($A15),MONTH($A15)+1,1))</f>
        <v/>
      </c>
      <c r="D15" s="30">
        <f>COUNTIFS('Oportunidades'!$I$2:$I$13,"&gt;="&amp;$A15,'Oportunidades'!$I$2:$I$13,"&lt;"&amp;DATE(YEAR($A15),MONTH($A15)+1,1))</f>
        <v/>
      </c>
      <c r="E15" s="31">
        <f>SUMIFS('Oportunidades'!$G$2:$G$13,'Oportunidades'!$I$2:$I$13,"&gt;="&amp;$A15,'Oportunidades'!$I$2:$I$13,"&lt;"&amp;DATE(YEAR($A15),MONTH($A15)+1,1))</f>
        <v/>
      </c>
      <c r="F15" s="30">
        <f>COUNTIFS('Oportunidades'!$H$2:$H$13,"Ganho",'Oportunidades'!$K$2:$K$13,"&gt;="&amp;$A15,'Oportunidades'!$K$2:$K$13,"&lt;"&amp;DATE(YEAR($A15),MONTH($A15)+1,1))</f>
        <v/>
      </c>
      <c r="G15" s="31">
        <f>SUMIFS('Oportunidades'!$G$2:$G$13,'Oportunidades'!$H$2:$H$13,"Ganho",'Oportunidades'!$K$2:$K$13,"&gt;="&amp;$A15,'Oportunidades'!$K$2:$K$13,"&lt;"&amp;DATE(YEAR($A15),MONTH($A15)+1,1))</f>
        <v/>
      </c>
      <c r="H15" s="30">
        <f>COUNTIFS('Oportunidades'!$H$2:$H$13,"Perdido",'Oportunidades'!$K$2:$K$13,"&gt;="&amp;$A15,'Oportunidades'!$K$2:$K$13,"&lt;"&amp;DATE(YEAR($A15),MONTH($A15)+1,1))</f>
        <v/>
      </c>
      <c r="I15" s="32">
        <f>IF(F15+H15=0,"",F15/(F15+H15))</f>
        <v/>
      </c>
      <c r="J15" s="31">
        <f>IF(F15=0,"",G15/F15)</f>
        <v/>
      </c>
    </row>
    <row r="16">
      <c r="A16" s="28">
        <f>DATE(SelYear,12,1)</f>
        <v/>
      </c>
      <c r="B16" s="29" t="inlineStr">
        <is>
          <t>Dez</t>
        </is>
      </c>
      <c r="C16" s="30">
        <f>COUNTIFS('Oportunidades'!$A$2:$A$13,"&gt;="&amp;$A16,'Oportunidades'!$A$2:$A$13,"&lt;"&amp;DATE(YEAR($A16),MONTH($A16)+1,1))</f>
        <v/>
      </c>
      <c r="D16" s="30">
        <f>COUNTIFS('Oportunidades'!$I$2:$I$13,"&gt;="&amp;$A16,'Oportunidades'!$I$2:$I$13,"&lt;"&amp;DATE(YEAR($A16),MONTH($A16)+1,1))</f>
        <v/>
      </c>
      <c r="E16" s="31">
        <f>SUMIFS('Oportunidades'!$G$2:$G$13,'Oportunidades'!$I$2:$I$13,"&gt;="&amp;$A16,'Oportunidades'!$I$2:$I$13,"&lt;"&amp;DATE(YEAR($A16),MONTH($A16)+1,1))</f>
        <v/>
      </c>
      <c r="F16" s="30">
        <f>COUNTIFS('Oportunidades'!$H$2:$H$13,"Ganho",'Oportunidades'!$K$2:$K$13,"&gt;="&amp;$A16,'Oportunidades'!$K$2:$K$13,"&lt;"&amp;DATE(YEAR($A16),MONTH($A16)+1,1))</f>
        <v/>
      </c>
      <c r="G16" s="31">
        <f>SUMIFS('Oportunidades'!$G$2:$G$13,'Oportunidades'!$H$2:$H$13,"Ganho",'Oportunidades'!$K$2:$K$13,"&gt;="&amp;$A16,'Oportunidades'!$K$2:$K$13,"&lt;"&amp;DATE(YEAR($A16),MONTH($A16)+1,1))</f>
        <v/>
      </c>
      <c r="H16" s="30">
        <f>COUNTIFS('Oportunidades'!$H$2:$H$13,"Perdido",'Oportunidades'!$K$2:$K$13,"&gt;="&amp;$A16,'Oportunidades'!$K$2:$K$13,"&lt;"&amp;DATE(YEAR($A16),MONTH($A16)+1,1))</f>
        <v/>
      </c>
      <c r="I16" s="32">
        <f>IF(F16+H16=0,"",F16/(F16+H16))</f>
        <v/>
      </c>
      <c r="J16" s="31">
        <f>IF(F16=0,"",G16/F16)</f>
        <v/>
      </c>
    </row>
    <row r="17">
      <c r="B17" s="29" t="inlineStr">
        <is>
          <t>Ano</t>
        </is>
      </c>
      <c r="C17" s="33">
        <f>SUM(C5:C16)</f>
        <v/>
      </c>
      <c r="D17" s="33">
        <f>SUM(D5:D16)</f>
        <v/>
      </c>
      <c r="E17" s="34">
        <f>SUM(E5:E16)</f>
        <v/>
      </c>
      <c r="F17" s="33">
        <f>SUM(F5:F16)</f>
        <v/>
      </c>
      <c r="G17" s="34">
        <f>SUM(G5:G16)</f>
        <v/>
      </c>
      <c r="H17" s="33">
        <f>SUM(H5:H16)</f>
        <v/>
      </c>
      <c r="I17" s="35">
        <f>IF(F17+H17=0,"",F17/(F17+H17))</f>
        <v/>
      </c>
      <c r="J17" s="34">
        <f>IF(F17=0,"",G17/F17)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16" customWidth="1" min="4" max="4"/>
    <col width="3" customWidth="1" min="5" max="5"/>
    <col width="18" customWidth="1" min="6" max="6"/>
    <col width="3" customWidth="1" min="7" max="7"/>
  </cols>
  <sheetData>
    <row r="1">
      <c r="A1" s="1" t="inlineStr">
        <is>
          <t>Definições</t>
        </is>
      </c>
    </row>
    <row r="2">
      <c r="A2" s="3" t="inlineStr">
        <is>
          <t>Células e listas amarelas: adapte-as ao seu negócio. As listas cinzentas são fixas: as fórmulas dependem destas palavras, não as altere.</t>
        </is>
      </c>
    </row>
    <row r="3">
      <c r="D3" s="36" t="inlineStr">
        <is>
          <t>Fases  (fixa)</t>
        </is>
      </c>
      <c r="F3" s="36" t="inlineStr">
        <is>
          <t>Origem dos pedidos</t>
        </is>
      </c>
    </row>
    <row r="4">
      <c r="A4" s="19" t="inlineStr">
        <is>
          <t>Geral</t>
        </is>
      </c>
      <c r="B4" s="19" t="inlineStr">
        <is>
          <t>Valor</t>
        </is>
      </c>
      <c r="D4" s="19" t="inlineStr">
        <is>
          <t>Fase</t>
        </is>
      </c>
      <c r="F4" s="19" t="inlineStr">
        <is>
          <t>Origem</t>
        </is>
      </c>
    </row>
    <row r="5">
      <c r="A5" s="20" t="inlineStr">
        <is>
          <t>Nome da empresa</t>
        </is>
      </c>
      <c r="B5" s="37" t="inlineStr">
        <is>
          <t>A sua empresa</t>
        </is>
      </c>
      <c r="D5" s="38" t="inlineStr">
        <is>
          <t>Novo</t>
        </is>
      </c>
      <c r="F5" s="39" t="inlineStr">
        <is>
          <t>Site</t>
        </is>
      </c>
    </row>
    <row r="6">
      <c r="A6" s="20" t="inlineStr">
        <is>
          <t>Ano dos resumos</t>
        </is>
      </c>
      <c r="B6" s="40" t="n">
        <v>2027</v>
      </c>
      <c r="D6" s="38" t="inlineStr">
        <is>
          <t>Contactado</t>
        </is>
      </c>
      <c r="F6" s="39" t="inlineStr">
        <is>
          <t>Recomendação</t>
        </is>
      </c>
    </row>
    <row r="7">
      <c r="D7" s="38" t="inlineStr">
        <is>
          <t>Orçamentado</t>
        </is>
      </c>
      <c r="F7" s="39" t="inlineStr">
        <is>
          <t>Instagram</t>
        </is>
      </c>
    </row>
    <row r="8">
      <c r="D8" s="38" t="inlineStr">
        <is>
          <t>Ganho</t>
        </is>
      </c>
      <c r="F8" s="39" t="inlineStr">
        <is>
          <t>Facebook</t>
        </is>
      </c>
    </row>
    <row r="9">
      <c r="D9" s="38" t="inlineStr">
        <is>
          <t>Perdido</t>
        </is>
      </c>
      <c r="F9" s="39" t="inlineStr">
        <is>
          <t>Google</t>
        </is>
      </c>
    </row>
    <row r="10">
      <c r="F10" s="39" t="inlineStr">
        <is>
          <t>Telefone</t>
        </is>
      </c>
    </row>
    <row r="11">
      <c r="F11" s="39" t="inlineStr">
        <is>
          <t>Presencial</t>
        </is>
      </c>
    </row>
    <row r="12">
      <c r="F12" s="39" t="inlineStr">
        <is>
          <t>Outro</t>
        </is>
      </c>
    </row>
    <row r="13">
      <c r="F13" s="41" t="n"/>
    </row>
    <row r="14">
      <c r="F14" s="41" t="n"/>
    </row>
    <row r="15">
      <c r="F15" s="41" t="n"/>
    </row>
    <row r="16">
      <c r="F16" s="41" t="n"/>
    </row>
    <row r="17">
      <c r="F17" s="41" t="n"/>
    </row>
    <row r="18">
      <c r="F18" s="41" t="n"/>
    </row>
    <row r="19">
      <c r="F19" s="41" t="n"/>
    </row>
    <row r="20">
      <c r="F20" s="41" t="n"/>
    </row>
    <row r="21">
      <c r="F21" s="41" t="n"/>
    </row>
    <row r="22">
      <c r="F22" s="41" t="n"/>
    </row>
    <row r="23">
      <c r="F23" s="41" t="n"/>
    </row>
    <row r="24">
      <c r="F24" s="41" t="n"/>
    </row>
    <row r="25">
      <c r="F25" s="41" t="n"/>
    </row>
    <row r="26">
      <c r="F26" s="41" t="n"/>
    </row>
    <row r="27">
      <c r="F27" s="41" t="n"/>
    </row>
    <row r="28">
      <c r="F28" s="41" t="n"/>
    </row>
    <row r="29">
      <c r="F29" s="41" t="n"/>
    </row>
    <row r="30">
      <c r="F30" s="41" t="n"/>
    </row>
    <row r="31">
      <c r="F31" s="41" t="n"/>
    </row>
    <row r="32">
      <c r="F32" s="41" t="n"/>
    </row>
    <row r="33">
      <c r="F33" s="41" t="n"/>
    </row>
    <row r="34">
      <c r="F34" s="4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RotaVoo</dc:creator>
  <dc:title>Controlo de Vendas e Orçamentos (pré-visualização)</dc:title>
  <dcterms:created xsi:type="dcterms:W3CDTF">2026-11-01T09:38:33Z</dcterms:created>
  <dcterms:modified xsi:type="dcterms:W3CDTF">2026-11-01T09:38:33Z</dcterms:modified>
</cp:coreProperties>
</file>